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0.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1.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4.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drawings/drawing16.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17.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8.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19.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20.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drawings/drawing21.xml" ContentType="application/vnd.openxmlformats-officedocument.drawing+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22.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drawings/drawing23.xml" ContentType="application/vnd.openxmlformats-officedocument.drawing+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drawings/drawing24.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drawings/drawing2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drawings/drawing26.xml" ContentType="application/vnd.openxmlformats-officedocument.drawing+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27.xml" ContentType="application/vnd.openxmlformats-officedocument.drawing+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drawings/drawing30.xml" ContentType="application/vnd.openxmlformats-officedocument.drawing+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drawings/drawing31.xml" ContentType="application/vnd.openxmlformats-officedocument.drawing+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32.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666" yWindow="-177" windowWidth="13055" windowHeight="9822" tabRatio="934"/>
  </bookViews>
  <sheets>
    <sheet name="Inhalt" sheetId="1" r:id="rId1"/>
    <sheet name="Hinweise" sheetId="2" r:id="rId2"/>
    <sheet name="Übersicht Tab." sheetId="3" r:id="rId3"/>
    <sheet name="Grafik" sheetId="4" r:id="rId4"/>
    <sheet name="KombiGrünland" sheetId="5" state="hidden" r:id="rId5"/>
    <sheet name="Erträge" sheetId="6" r:id="rId6"/>
    <sheet name="Energ." sheetId="7" r:id="rId7"/>
    <sheet name="Prämien" sheetId="8" r:id="rId8"/>
    <sheet name="Preise" sheetId="9" r:id="rId9"/>
    <sheet name="Arbeitsgänge" sheetId="10" r:id="rId10"/>
    <sheet name="Lohnma." sheetId="11" r:id="rId11"/>
    <sheet name="Maschinen" sheetId="12" r:id="rId12"/>
    <sheet name="Lager-Fläche" sheetId="13" r:id="rId13"/>
    <sheet name="Grün3(a)" sheetId="14" r:id="rId14"/>
    <sheet name="G3(b)" sheetId="15" r:id="rId15"/>
    <sheet name="Grün4(a)" sheetId="16" r:id="rId16"/>
    <sheet name="G4(b)" sheetId="17" r:id="rId17"/>
    <sheet name="GSilo3(a)" sheetId="18" r:id="rId18"/>
    <sheet name="GS3(b)" sheetId="19" r:id="rId19"/>
    <sheet name="GSilo4(a)" sheetId="20" r:id="rId20"/>
    <sheet name="GS4(b)" sheetId="21" r:id="rId21"/>
    <sheet name="Heu 2(a) " sheetId="22" r:id="rId22"/>
    <sheet name="H2(b)" sheetId="23" r:id="rId23"/>
    <sheet name="Heu 3(a)" sheetId="24" r:id="rId24"/>
    <sheet name="H3(b)" sheetId="25" r:id="rId25"/>
    <sheet name="HeuTr. 4(a)" sheetId="26" r:id="rId26"/>
    <sheet name="HTr.4(b)" sheetId="27" r:id="rId27"/>
    <sheet name="Standw.(a)" sheetId="28" r:id="rId28"/>
    <sheet name="Stw.(b)" sheetId="29" r:id="rId29"/>
    <sheet name="Umtriebsw.(a)" sheetId="30" r:id="rId30"/>
    <sheet name="Umw.(b)" sheetId="31" r:id="rId31"/>
    <sheet name="Portionsw.(a)" sheetId="32" r:id="rId32"/>
    <sheet name="Porw.(b)" sheetId="33" r:id="rId33"/>
    <sheet name="KGGrün70-30(a)" sheetId="34" r:id="rId34"/>
    <sheet name="KGGrün(b)" sheetId="35" r:id="rId35"/>
    <sheet name="KGSilo30-70(a)" sheetId="36" r:id="rId36"/>
    <sheet name="KSilo(b)" sheetId="37" r:id="rId37"/>
    <sheet name="KGCob(a)" sheetId="38" r:id="rId38"/>
    <sheet name="KGCob(b)" sheetId="39" r:id="rId39"/>
    <sheet name="LuzGrün(a)" sheetId="40" r:id="rId40"/>
    <sheet name="LuzGrün(b)" sheetId="41" r:id="rId41"/>
    <sheet name="LuzHeuTr(a)" sheetId="42" r:id="rId42"/>
    <sheet name="LuzHeuTr(b)" sheetId="43" r:id="rId43"/>
    <sheet name="Silomais(a)" sheetId="44" r:id="rId44"/>
    <sheet name="Silomais(b)" sheetId="45" r:id="rId45"/>
    <sheet name="GPS GersteErbse(a)" sheetId="46" r:id="rId46"/>
    <sheet name="GPS G-E(b)" sheetId="47" r:id="rId47"/>
    <sheet name="Zwf(a)" sheetId="48" r:id="rId48"/>
    <sheet name="Zwf(b)" sheetId="49" r:id="rId49"/>
    <sheet name="TestAb(a)" sheetId="50" r:id="rId50"/>
    <sheet name="TestAb(b)" sheetId="51" r:id="rId51"/>
    <sheet name="Grünroggen-(a)" sheetId="52" state="hidden" r:id="rId52"/>
    <sheet name="Grünroggen-(b)" sheetId="53" state="hidden" r:id="rId53"/>
    <sheet name="Landsberger-(a)" sheetId="54" state="hidden" r:id="rId54"/>
    <sheet name="Landsberger-(b)" sheetId="55" state="hidden" r:id="rId55"/>
    <sheet name="Leguminosen GemengeGPS(a)" sheetId="56" state="hidden" r:id="rId56"/>
    <sheet name="Leguminosen GemengeGPS(b)" sheetId="57" state="hidden" r:id="rId57"/>
  </sheets>
  <definedNames>
    <definedName name="_xlnm.Print_Area" localSheetId="9">Arbeitsgänge!$B$2:$M$78</definedName>
    <definedName name="_xlnm.Print_Area" localSheetId="6">Energ.!$B$2:$N$66</definedName>
    <definedName name="_xlnm.Print_Area" localSheetId="5">Erträge!$B$2:$J$61</definedName>
    <definedName name="_xlnm.Print_Area" localSheetId="14">'G3(b)'!$B$2:$S$74</definedName>
    <definedName name="_xlnm.Print_Area" localSheetId="16">'G4(b)'!$B$2:$S$74</definedName>
    <definedName name="_xlnm.Print_Area" localSheetId="46">'GPS G-E(b)'!$B$2:$O$71</definedName>
    <definedName name="_xlnm.Print_Area" localSheetId="45">'GPS GersteErbse(a)'!$C$2:$P$71</definedName>
    <definedName name="_xlnm.Print_Area" localSheetId="3">Grafik!$A$2:$U$111</definedName>
    <definedName name="_xlnm.Print_Area" localSheetId="13">'Grün3(a)'!$C$2:$Q$72</definedName>
    <definedName name="_xlnm.Print_Area" localSheetId="15">'Grün4(a)'!$C$2:$Q$72</definedName>
    <definedName name="_xlnm.Print_Area" localSheetId="51">'Grünroggen-(a)'!$C$2:$P$70</definedName>
    <definedName name="_xlnm.Print_Area" localSheetId="52">'Grünroggen-(b)'!$B$2:$O$70</definedName>
    <definedName name="_xlnm.Print_Area" localSheetId="18">'GS3(b)'!$B$2:$S$74</definedName>
    <definedName name="_xlnm.Print_Area" localSheetId="20">'GS4(b)'!$B$2:$S$74</definedName>
    <definedName name="_xlnm.Print_Area" localSheetId="17">'GSilo3(a)'!$C$2:$Q$72</definedName>
    <definedName name="_xlnm.Print_Area" localSheetId="19">'GSilo4(a)'!$C$2:$Q$72</definedName>
    <definedName name="_xlnm.Print_Area" localSheetId="22">'H2(b)'!$B$2:$S$74</definedName>
    <definedName name="_xlnm.Print_Area" localSheetId="24">'H3(b)'!$B$2:$S$74</definedName>
    <definedName name="_xlnm.Print_Area" localSheetId="21">'Heu 2(a) '!$C$2:$Q$72</definedName>
    <definedName name="_xlnm.Print_Area" localSheetId="23">'Heu 3(a)'!$C$2:$Q$72</definedName>
    <definedName name="_xlnm.Print_Area" localSheetId="25">'HeuTr. 4(a)'!$C$2:$Q$72</definedName>
    <definedName name="_xlnm.Print_Area" localSheetId="1">Hinweise!$B$3:$I$64</definedName>
    <definedName name="_xlnm.Print_Area" localSheetId="26">'HTr.4(b)'!$B$2:$S$74</definedName>
    <definedName name="_xlnm.Print_Area" localSheetId="0">Inhalt!$A$1:$I$66</definedName>
    <definedName name="_xlnm.Print_Area" localSheetId="37">'KGCob(a)'!$C$2:$P$71</definedName>
    <definedName name="_xlnm.Print_Area" localSheetId="38">'KGCob(b)'!$B$2:$O$71</definedName>
    <definedName name="_xlnm.Print_Area" localSheetId="34">'KGGrün(b)'!$B$2:$O$71</definedName>
    <definedName name="_xlnm.Print_Area" localSheetId="33">'KGGrün70-30(a)'!$C$2:$P$71</definedName>
    <definedName name="_xlnm.Print_Area" localSheetId="35">'KGSilo30-70(a)'!$C$2:$P$71</definedName>
    <definedName name="_xlnm.Print_Area" localSheetId="36">'KSilo(b)'!$B$2:$O$71</definedName>
    <definedName name="_xlnm.Print_Area" localSheetId="12">'Lager-Fläche'!$B$2:$M$58</definedName>
    <definedName name="_xlnm.Print_Area" localSheetId="53">'Landsberger-(a)'!$C$2:$P$70</definedName>
    <definedName name="_xlnm.Print_Area" localSheetId="54">'Landsberger-(b)'!$B$2:$O$70</definedName>
    <definedName name="_xlnm.Print_Area" localSheetId="55">'Leguminosen GemengeGPS(a)'!$C$2:$P$70</definedName>
    <definedName name="_xlnm.Print_Area" localSheetId="56">'Leguminosen GemengeGPS(b)'!$B$2:$O$70</definedName>
    <definedName name="_xlnm.Print_Area" localSheetId="10">Lohnma.!$B$2:$M$66</definedName>
    <definedName name="_xlnm.Print_Area" localSheetId="39">'LuzGrün(a)'!$C$2:$P$71</definedName>
    <definedName name="_xlnm.Print_Area" localSheetId="40">'LuzGrün(b)'!$B$2:$O$71</definedName>
    <definedName name="_xlnm.Print_Area" localSheetId="41">'LuzHeuTr(a)'!$C$2:$P$71</definedName>
    <definedName name="_xlnm.Print_Area" localSheetId="42">'LuzHeuTr(b)'!$B$2:$O$71</definedName>
    <definedName name="_xlnm.Print_Area" localSheetId="11">Maschinen!$B$2:$X$54</definedName>
    <definedName name="_xlnm.Print_Area" localSheetId="31">'Portionsw.(a)'!$C$2:$Q$72</definedName>
    <definedName name="_xlnm.Print_Area" localSheetId="32">'Porw.(b)'!$B$2:$S$74</definedName>
    <definedName name="_xlnm.Print_Area" localSheetId="7">Prämien!$C$2:$Y$37</definedName>
    <definedName name="_xlnm.Print_Area" localSheetId="8">Preise!$B$2:$M$89</definedName>
    <definedName name="_xlnm.Print_Area" localSheetId="43">'Silomais(a)'!$C$2:$P$71</definedName>
    <definedName name="_xlnm.Print_Area" localSheetId="44">'Silomais(b)'!$B$2:$O$71</definedName>
    <definedName name="_xlnm.Print_Area" localSheetId="27">'Standw.(a)'!$C$2:$Q$72</definedName>
    <definedName name="_xlnm.Print_Area" localSheetId="28">'Stw.(b)'!$B$2:$S$74</definedName>
    <definedName name="_xlnm.Print_Area" localSheetId="49">'TestAb(a)'!$C$2:$P$71</definedName>
    <definedName name="_xlnm.Print_Area" localSheetId="50">'TestAb(b)'!$B$2:$O$71</definedName>
    <definedName name="_xlnm.Print_Area" localSheetId="2">'Übersicht Tab.'!$A$2:$AP$60</definedName>
    <definedName name="_xlnm.Print_Area" localSheetId="29">'Umtriebsw.(a)'!$C$2:$Q$72</definedName>
    <definedName name="_xlnm.Print_Area" localSheetId="30">'Umw.(b)'!$B$2:$S$74</definedName>
    <definedName name="_xlnm.Print_Area" localSheetId="47">'Zwf(a)'!$C$2:$P$71</definedName>
    <definedName name="_xlnm.Print_Area" localSheetId="48">'Zwf(b)'!$B$2:$O$71</definedName>
    <definedName name="_xlnm.Print_Titles" localSheetId="9">Arbeitsgänge!$2:$26</definedName>
    <definedName name="_xlnm.Print_Titles" localSheetId="0">Inhalt!$1:$9</definedName>
    <definedName name="_xlnm.Print_Titles" localSheetId="2">'Übersicht Tab.'!$B:$D,'Übersicht Tab.'!$2:$4</definedName>
    <definedName name="Z_32760361_675F_4FBF_A5CA_B0597C10371F_.wvu.Cols" localSheetId="0" hidden="1">Inhalt!$J:$Q</definedName>
    <definedName name="Z_32760361_675F_4FBF_A5CA_B0597C10371F_.wvu.Cols" localSheetId="11" hidden="1">Maschinen!$B:$B</definedName>
    <definedName name="Z_32760361_675F_4FBF_A5CA_B0597C10371F_.wvu.Cols" localSheetId="8" hidden="1">Preise!$N:$V</definedName>
    <definedName name="Z_32760361_675F_4FBF_A5CA_B0597C10371F_.wvu.Cols" localSheetId="2" hidden="1">'Übersicht Tab.'!$I:$J,'Übersicht Tab.'!$Q:$Q,'Übersicht Tab.'!$CC:$CK</definedName>
    <definedName name="Z_32760361_675F_4FBF_A5CA_B0597C10371F_.wvu.PrintArea" localSheetId="9" hidden="1">Arbeitsgänge!$B$2:$M$78</definedName>
    <definedName name="Z_32760361_675F_4FBF_A5CA_B0597C10371F_.wvu.PrintArea" localSheetId="6" hidden="1">Energ.!$B$2:$N$66</definedName>
    <definedName name="Z_32760361_675F_4FBF_A5CA_B0597C10371F_.wvu.PrintArea" localSheetId="5" hidden="1">Erträge!$B$2:$J$61</definedName>
    <definedName name="Z_32760361_675F_4FBF_A5CA_B0597C10371F_.wvu.PrintArea" localSheetId="14" hidden="1">'G3(b)'!$B$2:$S$74</definedName>
    <definedName name="Z_32760361_675F_4FBF_A5CA_B0597C10371F_.wvu.PrintArea" localSheetId="16" hidden="1">'G4(b)'!$B$2:$S$74</definedName>
    <definedName name="Z_32760361_675F_4FBF_A5CA_B0597C10371F_.wvu.PrintArea" localSheetId="46" hidden="1">'GPS G-E(b)'!$B$2:$O$71</definedName>
    <definedName name="Z_32760361_675F_4FBF_A5CA_B0597C10371F_.wvu.PrintArea" localSheetId="45" hidden="1">'GPS GersteErbse(a)'!$C$2:$P$71</definedName>
    <definedName name="Z_32760361_675F_4FBF_A5CA_B0597C10371F_.wvu.PrintArea" localSheetId="3" hidden="1">Grafik!$A$2:$U$111</definedName>
    <definedName name="Z_32760361_675F_4FBF_A5CA_B0597C10371F_.wvu.PrintArea" localSheetId="13" hidden="1">'Grün3(a)'!$C$2:$Q$72</definedName>
    <definedName name="Z_32760361_675F_4FBF_A5CA_B0597C10371F_.wvu.PrintArea" localSheetId="15" hidden="1">'Grün4(a)'!$C$2:$Q$72</definedName>
    <definedName name="Z_32760361_675F_4FBF_A5CA_B0597C10371F_.wvu.PrintArea" localSheetId="51" hidden="1">'Grünroggen-(a)'!$C$2:$P$70</definedName>
    <definedName name="Z_32760361_675F_4FBF_A5CA_B0597C10371F_.wvu.PrintArea" localSheetId="52" hidden="1">'Grünroggen-(b)'!$B$2:$O$70</definedName>
    <definedName name="Z_32760361_675F_4FBF_A5CA_B0597C10371F_.wvu.PrintArea" localSheetId="18" hidden="1">'GS3(b)'!$B$2:$S$74</definedName>
    <definedName name="Z_32760361_675F_4FBF_A5CA_B0597C10371F_.wvu.PrintArea" localSheetId="20" hidden="1">'GS4(b)'!$B$2:$S$74</definedName>
    <definedName name="Z_32760361_675F_4FBF_A5CA_B0597C10371F_.wvu.PrintArea" localSheetId="17" hidden="1">'GSilo3(a)'!$C$2:$Q$72</definedName>
    <definedName name="Z_32760361_675F_4FBF_A5CA_B0597C10371F_.wvu.PrintArea" localSheetId="19" hidden="1">'GSilo4(a)'!$C$2:$Q$72</definedName>
    <definedName name="Z_32760361_675F_4FBF_A5CA_B0597C10371F_.wvu.PrintArea" localSheetId="22" hidden="1">'H2(b)'!$B$2:$S$74</definedName>
    <definedName name="Z_32760361_675F_4FBF_A5CA_B0597C10371F_.wvu.PrintArea" localSheetId="24" hidden="1">'H3(b)'!$B$2:$S$74</definedName>
    <definedName name="Z_32760361_675F_4FBF_A5CA_B0597C10371F_.wvu.PrintArea" localSheetId="21" hidden="1">'Heu 2(a) '!$C$2:$Q$72</definedName>
    <definedName name="Z_32760361_675F_4FBF_A5CA_B0597C10371F_.wvu.PrintArea" localSheetId="23" hidden="1">'Heu 3(a)'!$C$2:$Q$72</definedName>
    <definedName name="Z_32760361_675F_4FBF_A5CA_B0597C10371F_.wvu.PrintArea" localSheetId="25" hidden="1">'HeuTr. 4(a)'!$C$2:$Q$72</definedName>
    <definedName name="Z_32760361_675F_4FBF_A5CA_B0597C10371F_.wvu.PrintArea" localSheetId="1" hidden="1">Hinweise!$B$3:$I$64</definedName>
    <definedName name="Z_32760361_675F_4FBF_A5CA_B0597C10371F_.wvu.PrintArea" localSheetId="26" hidden="1">'HTr.4(b)'!$B$2:$S$74</definedName>
    <definedName name="Z_32760361_675F_4FBF_A5CA_B0597C10371F_.wvu.PrintArea" localSheetId="0" hidden="1">Inhalt!$A$1:$I$66</definedName>
    <definedName name="Z_32760361_675F_4FBF_A5CA_B0597C10371F_.wvu.PrintArea" localSheetId="37" hidden="1">'KGCob(a)'!$C$2:$P$71</definedName>
    <definedName name="Z_32760361_675F_4FBF_A5CA_B0597C10371F_.wvu.PrintArea" localSheetId="38" hidden="1">'KGCob(b)'!$B$2:$O$71</definedName>
    <definedName name="Z_32760361_675F_4FBF_A5CA_B0597C10371F_.wvu.PrintArea" localSheetId="34" hidden="1">'KGGrün(b)'!$B$2:$O$71</definedName>
    <definedName name="Z_32760361_675F_4FBF_A5CA_B0597C10371F_.wvu.PrintArea" localSheetId="33" hidden="1">'KGGrün70-30(a)'!$C$2:$P$71</definedName>
    <definedName name="Z_32760361_675F_4FBF_A5CA_B0597C10371F_.wvu.PrintArea" localSheetId="35" hidden="1">'KGSilo30-70(a)'!$C$2:$P$71</definedName>
    <definedName name="Z_32760361_675F_4FBF_A5CA_B0597C10371F_.wvu.PrintArea" localSheetId="36" hidden="1">'KSilo(b)'!$B$2:$O$71</definedName>
    <definedName name="Z_32760361_675F_4FBF_A5CA_B0597C10371F_.wvu.PrintArea" localSheetId="12" hidden="1">'Lager-Fläche'!$B$2:$M$58</definedName>
    <definedName name="Z_32760361_675F_4FBF_A5CA_B0597C10371F_.wvu.PrintArea" localSheetId="53" hidden="1">'Landsberger-(a)'!$C$2:$P$70</definedName>
    <definedName name="Z_32760361_675F_4FBF_A5CA_B0597C10371F_.wvu.PrintArea" localSheetId="54" hidden="1">'Landsberger-(b)'!$B$2:$O$70</definedName>
    <definedName name="Z_32760361_675F_4FBF_A5CA_B0597C10371F_.wvu.PrintArea" localSheetId="55" hidden="1">'Leguminosen GemengeGPS(a)'!$C$2:$P$70</definedName>
    <definedName name="Z_32760361_675F_4FBF_A5CA_B0597C10371F_.wvu.PrintArea" localSheetId="56" hidden="1">'Leguminosen GemengeGPS(b)'!$B$2:$O$70</definedName>
    <definedName name="Z_32760361_675F_4FBF_A5CA_B0597C10371F_.wvu.PrintArea" localSheetId="10" hidden="1">Lohnma.!$B$2:$M$66</definedName>
    <definedName name="Z_32760361_675F_4FBF_A5CA_B0597C10371F_.wvu.PrintArea" localSheetId="39" hidden="1">'LuzGrün(a)'!$C$2:$P$71</definedName>
    <definedName name="Z_32760361_675F_4FBF_A5CA_B0597C10371F_.wvu.PrintArea" localSheetId="40" hidden="1">'LuzGrün(b)'!$B$2:$O$71</definedName>
    <definedName name="Z_32760361_675F_4FBF_A5CA_B0597C10371F_.wvu.PrintArea" localSheetId="41" hidden="1">'LuzHeuTr(a)'!$C$2:$P$71</definedName>
    <definedName name="Z_32760361_675F_4FBF_A5CA_B0597C10371F_.wvu.PrintArea" localSheetId="42" hidden="1">'LuzHeuTr(b)'!$B$2:$O$71</definedName>
    <definedName name="Z_32760361_675F_4FBF_A5CA_B0597C10371F_.wvu.PrintArea" localSheetId="11" hidden="1">Maschinen!$B$2:$X$54</definedName>
    <definedName name="Z_32760361_675F_4FBF_A5CA_B0597C10371F_.wvu.PrintArea" localSheetId="31" hidden="1">'Portionsw.(a)'!$C$2:$Q$72</definedName>
    <definedName name="Z_32760361_675F_4FBF_A5CA_B0597C10371F_.wvu.PrintArea" localSheetId="32" hidden="1">'Porw.(b)'!$B$2:$S$74</definedName>
    <definedName name="Z_32760361_675F_4FBF_A5CA_B0597C10371F_.wvu.PrintArea" localSheetId="7" hidden="1">Prämien!$C$2:$Y$37</definedName>
    <definedName name="Z_32760361_675F_4FBF_A5CA_B0597C10371F_.wvu.PrintArea" localSheetId="8" hidden="1">Preise!$B$2:$M$89</definedName>
    <definedName name="Z_32760361_675F_4FBF_A5CA_B0597C10371F_.wvu.PrintArea" localSheetId="43" hidden="1">'Silomais(a)'!$C$2:$P$71</definedName>
    <definedName name="Z_32760361_675F_4FBF_A5CA_B0597C10371F_.wvu.PrintArea" localSheetId="44" hidden="1">'Silomais(b)'!$B$2:$O$71</definedName>
    <definedName name="Z_32760361_675F_4FBF_A5CA_B0597C10371F_.wvu.PrintArea" localSheetId="27" hidden="1">'Standw.(a)'!$C$2:$Q$72</definedName>
    <definedName name="Z_32760361_675F_4FBF_A5CA_B0597C10371F_.wvu.PrintArea" localSheetId="28" hidden="1">'Stw.(b)'!$B$2:$S$74</definedName>
    <definedName name="Z_32760361_675F_4FBF_A5CA_B0597C10371F_.wvu.PrintArea" localSheetId="49" hidden="1">'TestAb(a)'!$C$2:$P$71</definedName>
    <definedName name="Z_32760361_675F_4FBF_A5CA_B0597C10371F_.wvu.PrintArea" localSheetId="50" hidden="1">'TestAb(b)'!$B$2:$O$71</definedName>
    <definedName name="Z_32760361_675F_4FBF_A5CA_B0597C10371F_.wvu.PrintArea" localSheetId="2" hidden="1">'Übersicht Tab.'!$A$2:$AP$60</definedName>
    <definedName name="Z_32760361_675F_4FBF_A5CA_B0597C10371F_.wvu.PrintArea" localSheetId="29" hidden="1">'Umtriebsw.(a)'!$C$2:$Q$72</definedName>
    <definedName name="Z_32760361_675F_4FBF_A5CA_B0597C10371F_.wvu.PrintArea" localSheetId="30" hidden="1">'Umw.(b)'!$B$2:$S$74</definedName>
    <definedName name="Z_32760361_675F_4FBF_A5CA_B0597C10371F_.wvu.PrintArea" localSheetId="47" hidden="1">'Zwf(a)'!$C$2:$P$71</definedName>
    <definedName name="Z_32760361_675F_4FBF_A5CA_B0597C10371F_.wvu.PrintArea" localSheetId="48" hidden="1">'Zwf(b)'!$B$2:$O$71</definedName>
    <definedName name="Z_32760361_675F_4FBF_A5CA_B0597C10371F_.wvu.PrintTitles" localSheetId="9" hidden="1">Arbeitsgänge!$2:$26</definedName>
    <definedName name="Z_32760361_675F_4FBF_A5CA_B0597C10371F_.wvu.PrintTitles" localSheetId="0" hidden="1">Inhalt!$1:$9</definedName>
    <definedName name="Z_32760361_675F_4FBF_A5CA_B0597C10371F_.wvu.PrintTitles" localSheetId="2" hidden="1">'Übersicht Tab.'!$B:$D,'Übersicht Tab.'!$2:$4</definedName>
    <definedName name="Z_32760361_675F_4FBF_A5CA_B0597C10371F_.wvu.Rows" localSheetId="9" hidden="1">Arbeitsgänge!$74:$74</definedName>
    <definedName name="Z_32760361_675F_4FBF_A5CA_B0597C10371F_.wvu.Rows" localSheetId="14" hidden="1">'G3(b)'!$49:$50,'G3(b)'!$52:$53,'G3(b)'!$59:$60</definedName>
    <definedName name="Z_32760361_675F_4FBF_A5CA_B0597C10371F_.wvu.Rows" localSheetId="16" hidden="1">'G4(b)'!$49:$50,'G4(b)'!$52:$53,'G4(b)'!$59:$60</definedName>
    <definedName name="Z_32760361_675F_4FBF_A5CA_B0597C10371F_.wvu.Rows" localSheetId="18" hidden="1">'GS3(b)'!$49:$50,'GS3(b)'!$52:$53,'GS3(b)'!$59:$60</definedName>
    <definedName name="Z_32760361_675F_4FBF_A5CA_B0597C10371F_.wvu.Rows" localSheetId="20" hidden="1">'GS4(b)'!$49:$50,'GS4(b)'!$52:$53,'GS4(b)'!$59:$60</definedName>
    <definedName name="Z_32760361_675F_4FBF_A5CA_B0597C10371F_.wvu.Rows" localSheetId="22" hidden="1">'H2(b)'!$49:$50,'H2(b)'!$52:$53,'H2(b)'!$59:$60</definedName>
    <definedName name="Z_32760361_675F_4FBF_A5CA_B0597C10371F_.wvu.Rows" localSheetId="24" hidden="1">'H3(b)'!$49:$50,'H3(b)'!$52:$53,'H3(b)'!$59:$60</definedName>
    <definedName name="Z_32760361_675F_4FBF_A5CA_B0597C10371F_.wvu.Rows" localSheetId="26" hidden="1">'HTr.4(b)'!$49:$50,'HTr.4(b)'!$52:$53,'HTr.4(b)'!$59:$60</definedName>
    <definedName name="Z_32760361_675F_4FBF_A5CA_B0597C10371F_.wvu.Rows" localSheetId="0" hidden="1">Inhalt!$36:$37,Inhalt!$84:$86</definedName>
    <definedName name="Z_32760361_675F_4FBF_A5CA_B0597C10371F_.wvu.Rows" localSheetId="32" hidden="1">'Porw.(b)'!$49:$50,'Porw.(b)'!$52:$53,'Porw.(b)'!$59:$60</definedName>
    <definedName name="Z_32760361_675F_4FBF_A5CA_B0597C10371F_.wvu.Rows" localSheetId="8" hidden="1">Preise!$24:$27</definedName>
    <definedName name="Z_32760361_675F_4FBF_A5CA_B0597C10371F_.wvu.Rows" localSheetId="28" hidden="1">'Stw.(b)'!$49:$50,'Stw.(b)'!$52:$53,'Stw.(b)'!$59:$60</definedName>
    <definedName name="Z_32760361_675F_4FBF_A5CA_B0597C10371F_.wvu.Rows" localSheetId="2" hidden="1">'Übersicht Tab.'!$13:$13,'Übersicht Tab.'!$51:$53</definedName>
    <definedName name="Z_32760361_675F_4FBF_A5CA_B0597C10371F_.wvu.Rows" localSheetId="30" hidden="1">'Umw.(b)'!$49:$50,'Umw.(b)'!$52:$53,'Umw.(b)'!$59:$60</definedName>
  </definedNames>
  <calcPr calcId="145621"/>
  <customWorkbookViews>
    <customWorkbookView name="Schabel, Katrin (LEL) - Persönliche Ansicht" guid="{32760361-675F-4FBF-A5CA-B0597C10371F}" mergeInterval="0" personalView="1" maximized="1" windowWidth="1276" windowHeight="738" tabRatio="934" activeSheetId="1"/>
  </customWorkbookViews>
</workbook>
</file>

<file path=xl/calcChain.xml><?xml version="1.0" encoding="utf-8"?>
<calcChain xmlns="http://schemas.openxmlformats.org/spreadsheetml/2006/main">
  <c r="E23" i="6" l="1"/>
  <c r="E22" i="6"/>
  <c r="E21" i="6"/>
  <c r="M46" i="11" l="1"/>
  <c r="M38" i="11" l="1"/>
  <c r="M36" i="11"/>
  <c r="M35" i="11"/>
  <c r="E60" i="10" l="1"/>
  <c r="E38" i="10"/>
  <c r="E69" i="10" l="1"/>
  <c r="M2" i="10" l="1"/>
  <c r="AA60" i="10"/>
  <c r="AB61" i="10"/>
  <c r="AA61" i="10"/>
  <c r="D5" i="12" l="1"/>
  <c r="C2" i="50" l="1"/>
  <c r="C2" i="48"/>
  <c r="C2" i="46"/>
  <c r="C2" i="44"/>
  <c r="C2" i="42"/>
  <c r="C2" i="40"/>
  <c r="C2" i="38"/>
  <c r="C2" i="36"/>
  <c r="C2" i="34"/>
  <c r="C2" i="32"/>
  <c r="C2" i="30"/>
  <c r="C2" i="28"/>
  <c r="C2" i="26"/>
  <c r="C2" i="24"/>
  <c r="C2" i="22"/>
  <c r="C2" i="20"/>
  <c r="C2" i="18"/>
  <c r="C2" i="16"/>
  <c r="I3" i="15"/>
  <c r="M5" i="20" l="1"/>
  <c r="N5" i="20"/>
  <c r="O5" i="20"/>
  <c r="P5" i="20"/>
  <c r="Q5" i="20"/>
  <c r="M6" i="20"/>
  <c r="N6" i="20"/>
  <c r="O6" i="20"/>
  <c r="P6" i="20"/>
  <c r="Q6" i="20"/>
  <c r="I7" i="20"/>
  <c r="M8" i="20"/>
  <c r="N8" i="20"/>
  <c r="O8" i="20"/>
  <c r="P8" i="20"/>
  <c r="Q8" i="20"/>
  <c r="K8" i="20" l="1"/>
  <c r="C2" i="14"/>
  <c r="AJ5" i="9"/>
  <c r="J2" i="48" l="1"/>
  <c r="J2" i="38"/>
  <c r="J2" i="32"/>
  <c r="J2" i="26"/>
  <c r="J2" i="20"/>
  <c r="J2" i="50"/>
  <c r="J2" i="46"/>
  <c r="J2" i="44"/>
  <c r="J2" i="42"/>
  <c r="J2" i="40"/>
  <c r="J2" i="36"/>
  <c r="J2" i="34"/>
  <c r="J2" i="30"/>
  <c r="J2" i="28"/>
  <c r="J2" i="24"/>
  <c r="J2" i="22"/>
  <c r="J2" i="18"/>
  <c r="J2" i="16"/>
  <c r="J2" i="14"/>
  <c r="G26" i="10"/>
  <c r="I2" i="33" l="1"/>
  <c r="I2" i="15"/>
  <c r="I2" i="51"/>
  <c r="I2" i="49"/>
  <c r="I2" i="47"/>
  <c r="I2" i="45"/>
  <c r="I2" i="43"/>
  <c r="I2" i="41"/>
  <c r="I2" i="39"/>
  <c r="I2" i="37"/>
  <c r="I2" i="35"/>
  <c r="I2" i="31"/>
  <c r="I2" i="29"/>
  <c r="I2" i="27"/>
  <c r="I2" i="25"/>
  <c r="I2" i="23"/>
  <c r="I2" i="21"/>
  <c r="I2" i="19"/>
  <c r="I2" i="17"/>
  <c r="N58" i="15"/>
  <c r="I9" i="3"/>
  <c r="J9" i="3"/>
  <c r="AB9" i="3"/>
  <c r="AC9" i="3"/>
  <c r="AD9" i="3"/>
  <c r="AE9" i="3"/>
  <c r="AF9" i="3"/>
  <c r="AG9" i="3"/>
  <c r="AH9" i="3"/>
  <c r="AK9" i="3"/>
  <c r="AL9" i="3"/>
  <c r="AM9" i="3"/>
  <c r="AN9" i="3"/>
  <c r="AO9" i="3"/>
  <c r="AP9" i="3"/>
  <c r="J50" i="30"/>
  <c r="K47" i="10"/>
  <c r="G47" i="10"/>
  <c r="M43" i="33" l="1"/>
  <c r="M43" i="27"/>
  <c r="M43" i="21"/>
  <c r="M43" i="17"/>
  <c r="X21" i="12" l="1"/>
  <c r="Y53" i="12"/>
  <c r="Y52" i="12"/>
  <c r="Y42" i="12"/>
  <c r="Y40" i="12"/>
  <c r="Y39" i="12"/>
  <c r="Y38" i="12"/>
  <c r="Y37" i="12"/>
  <c r="Y36" i="12"/>
  <c r="Y35" i="12"/>
  <c r="Y34" i="12"/>
  <c r="Y33" i="12"/>
  <c r="Y32" i="12"/>
  <c r="Y31" i="12"/>
  <c r="Y30" i="12"/>
  <c r="Y29" i="12"/>
  <c r="Y28" i="12"/>
  <c r="Y27" i="12"/>
  <c r="Y26" i="12"/>
  <c r="Y24" i="12"/>
  <c r="Y22" i="12"/>
  <c r="Y16" i="12"/>
  <c r="O16" i="42" l="1"/>
  <c r="O15" i="42"/>
  <c r="M16" i="42"/>
  <c r="M15" i="42"/>
  <c r="K33" i="46" l="1"/>
  <c r="O33" i="46"/>
  <c r="M33" i="46"/>
  <c r="M33" i="48"/>
  <c r="O33" i="48"/>
  <c r="K33" i="48"/>
  <c r="K33" i="42"/>
  <c r="L10" i="42"/>
  <c r="M60" i="42"/>
  <c r="O60" i="42"/>
  <c r="K60" i="42"/>
  <c r="L9" i="42"/>
  <c r="R11" i="4"/>
  <c r="K16" i="40"/>
  <c r="K15" i="40"/>
  <c r="J61" i="9"/>
  <c r="P11" i="4"/>
  <c r="O11" i="4"/>
  <c r="AG40" i="3"/>
  <c r="AF40" i="3"/>
  <c r="AE40" i="3"/>
  <c r="AG21" i="3"/>
  <c r="AF21" i="3"/>
  <c r="AE21" i="3"/>
  <c r="AG17" i="3"/>
  <c r="AF17" i="3"/>
  <c r="AE17" i="3"/>
  <c r="AD40" i="3"/>
  <c r="AC40" i="3"/>
  <c r="AB40" i="3"/>
  <c r="AD21" i="3"/>
  <c r="AC21" i="3"/>
  <c r="AB21" i="3"/>
  <c r="AD20" i="3"/>
  <c r="AC20" i="3"/>
  <c r="AB20" i="3"/>
  <c r="AD17" i="3"/>
  <c r="AC17" i="3"/>
  <c r="AB17" i="3"/>
  <c r="O16" i="38" l="1"/>
  <c r="O15" i="38"/>
  <c r="M16" i="38"/>
  <c r="M15" i="38"/>
  <c r="K16" i="38"/>
  <c r="K15" i="38"/>
  <c r="O16" i="34"/>
  <c r="O15" i="34"/>
  <c r="O42" i="43"/>
  <c r="AG36" i="3" s="1"/>
  <c r="N42" i="43"/>
  <c r="AF36" i="3" s="1"/>
  <c r="M42" i="43"/>
  <c r="AE36" i="3" s="1"/>
  <c r="Z31" i="43"/>
  <c r="C15" i="43"/>
  <c r="C16" i="43" s="1"/>
  <c r="C17" i="43" s="1"/>
  <c r="C19" i="43" s="1"/>
  <c r="C20" i="43" s="1"/>
  <c r="C21" i="43" s="1"/>
  <c r="C22" i="43" s="1"/>
  <c r="C23" i="43" s="1"/>
  <c r="C24" i="43" s="1"/>
  <c r="C25" i="43" s="1"/>
  <c r="C26" i="43" s="1"/>
  <c r="C27" i="43" s="1"/>
  <c r="C28" i="43" s="1"/>
  <c r="C30" i="43" s="1"/>
  <c r="C31" i="43" s="1"/>
  <c r="C32" i="43" s="1"/>
  <c r="C33" i="43" s="1"/>
  <c r="C34" i="43" s="1"/>
  <c r="C36" i="43" s="1"/>
  <c r="C37" i="43" s="1"/>
  <c r="C38" i="43" s="1"/>
  <c r="C39" i="43" s="1"/>
  <c r="C40" i="43" s="1"/>
  <c r="C41" i="43" s="1"/>
  <c r="C42" i="43" s="1"/>
  <c r="C43" i="43" s="1"/>
  <c r="C44" i="43" s="1"/>
  <c r="C46" i="43" s="1"/>
  <c r="C47" i="43" s="1"/>
  <c r="C48" i="43" s="1"/>
  <c r="C49" i="43" s="1"/>
  <c r="C50" i="43" s="1"/>
  <c r="C52" i="43" s="1"/>
  <c r="C53" i="43" s="1"/>
  <c r="C54" i="43" s="1"/>
  <c r="C55" i="43" s="1"/>
  <c r="C56" i="43" s="1"/>
  <c r="C57" i="43" s="1"/>
  <c r="C58" i="43" s="1"/>
  <c r="C59" i="43" s="1"/>
  <c r="C60" i="43" s="1"/>
  <c r="C61" i="43" s="1"/>
  <c r="C62" i="43" s="1"/>
  <c r="C63" i="43" s="1"/>
  <c r="C65" i="43" s="1"/>
  <c r="C66" i="43" s="1"/>
  <c r="C67" i="43" s="1"/>
  <c r="C68" i="43" s="1"/>
  <c r="O6" i="43"/>
  <c r="AG5" i="3" s="1"/>
  <c r="N6" i="43"/>
  <c r="AF5" i="3" s="1"/>
  <c r="M6" i="43"/>
  <c r="AE5" i="3" s="1"/>
  <c r="G3" i="43"/>
  <c r="F3" i="43"/>
  <c r="O2" i="43"/>
  <c r="P65" i="42"/>
  <c r="O22" i="43" s="1"/>
  <c r="N65" i="42"/>
  <c r="N22" i="43" s="1"/>
  <c r="L65" i="42"/>
  <c r="M22" i="43" s="1"/>
  <c r="V63" i="42"/>
  <c r="P63" i="42"/>
  <c r="O26" i="43" s="1"/>
  <c r="N63" i="42"/>
  <c r="N26" i="43" s="1"/>
  <c r="L63" i="42"/>
  <c r="M26" i="43" s="1"/>
  <c r="O62" i="42"/>
  <c r="M62" i="42"/>
  <c r="K62" i="42"/>
  <c r="H62" i="42"/>
  <c r="I61" i="42"/>
  <c r="P41" i="42"/>
  <c r="P37" i="42" s="1"/>
  <c r="O21" i="43" s="1"/>
  <c r="N41" i="42"/>
  <c r="L41" i="42"/>
  <c r="L37" i="42" s="1"/>
  <c r="M21" i="43" s="1"/>
  <c r="N37" i="42"/>
  <c r="N21" i="43" s="1"/>
  <c r="P26" i="42"/>
  <c r="N26" i="42"/>
  <c r="L26" i="42"/>
  <c r="D25" i="42"/>
  <c r="P23" i="42"/>
  <c r="N23" i="42"/>
  <c r="L23" i="42"/>
  <c r="D23" i="42"/>
  <c r="P22" i="42"/>
  <c r="N22" i="42"/>
  <c r="L22" i="42"/>
  <c r="H22" i="42"/>
  <c r="D22" i="42"/>
  <c r="P21" i="42"/>
  <c r="N21" i="42"/>
  <c r="L21" i="42"/>
  <c r="D21" i="42"/>
  <c r="P20" i="42"/>
  <c r="N20" i="42"/>
  <c r="L20" i="42"/>
  <c r="D20" i="42"/>
  <c r="O17" i="42"/>
  <c r="M17" i="42"/>
  <c r="J17" i="42"/>
  <c r="O14" i="42"/>
  <c r="M14" i="42"/>
  <c r="K14" i="42"/>
  <c r="O9" i="42"/>
  <c r="O36" i="42" s="1"/>
  <c r="M9" i="42"/>
  <c r="N7" i="43" s="1"/>
  <c r="AF6" i="3" s="1"/>
  <c r="K9" i="42"/>
  <c r="K36" i="42" s="1"/>
  <c r="O42" i="41"/>
  <c r="AD36" i="3" s="1"/>
  <c r="N42" i="41"/>
  <c r="AC36" i="3" s="1"/>
  <c r="M42" i="41"/>
  <c r="AB36" i="3" s="1"/>
  <c r="Z31" i="41"/>
  <c r="C15" i="41"/>
  <c r="C16" i="41" s="1"/>
  <c r="C17" i="41" s="1"/>
  <c r="C19" i="41" s="1"/>
  <c r="C20" i="41" s="1"/>
  <c r="C21" i="41" s="1"/>
  <c r="C22" i="41" s="1"/>
  <c r="C23" i="41" s="1"/>
  <c r="C24" i="41" s="1"/>
  <c r="C25" i="41" s="1"/>
  <c r="C26" i="41" s="1"/>
  <c r="C27" i="41" s="1"/>
  <c r="C28" i="41" s="1"/>
  <c r="C30" i="41" s="1"/>
  <c r="C31" i="41" s="1"/>
  <c r="C32" i="41" s="1"/>
  <c r="C33" i="41" s="1"/>
  <c r="C34" i="41" s="1"/>
  <c r="C36" i="41" s="1"/>
  <c r="C37" i="41" s="1"/>
  <c r="C38" i="41" s="1"/>
  <c r="C39" i="41" s="1"/>
  <c r="C40" i="41" s="1"/>
  <c r="C41" i="41" s="1"/>
  <c r="C42" i="41" s="1"/>
  <c r="C43" i="41" s="1"/>
  <c r="C44" i="41" s="1"/>
  <c r="C46" i="41" s="1"/>
  <c r="C47" i="41" s="1"/>
  <c r="C48" i="41" s="1"/>
  <c r="C49" i="41" s="1"/>
  <c r="C50" i="41" s="1"/>
  <c r="C52" i="41" s="1"/>
  <c r="C53" i="41" s="1"/>
  <c r="C54" i="41" s="1"/>
  <c r="C55" i="41" s="1"/>
  <c r="C56" i="41" s="1"/>
  <c r="C57" i="41" s="1"/>
  <c r="C58" i="41" s="1"/>
  <c r="C59" i="41" s="1"/>
  <c r="C60" i="41" s="1"/>
  <c r="C61" i="41" s="1"/>
  <c r="C62" i="41" s="1"/>
  <c r="C63" i="41" s="1"/>
  <c r="C65" i="41" s="1"/>
  <c r="C66" i="41" s="1"/>
  <c r="C67" i="41" s="1"/>
  <c r="C68" i="41" s="1"/>
  <c r="O6" i="41"/>
  <c r="AD5" i="3" s="1"/>
  <c r="N6" i="41"/>
  <c r="AC5" i="3" s="1"/>
  <c r="M6" i="41"/>
  <c r="AB5" i="3" s="1"/>
  <c r="G3" i="41"/>
  <c r="F3" i="41"/>
  <c r="O2" i="41"/>
  <c r="P68" i="40"/>
  <c r="N68" i="40"/>
  <c r="N67" i="40" s="1"/>
  <c r="N23" i="41" s="1"/>
  <c r="L68" i="40"/>
  <c r="P67" i="40"/>
  <c r="O23" i="41" s="1"/>
  <c r="L67" i="40"/>
  <c r="M23" i="41" s="1"/>
  <c r="P65" i="40"/>
  <c r="O22" i="41" s="1"/>
  <c r="N65" i="40"/>
  <c r="N22" i="41" s="1"/>
  <c r="L65" i="40"/>
  <c r="M22" i="41" s="1"/>
  <c r="V63" i="40"/>
  <c r="P63" i="40"/>
  <c r="O26" i="41" s="1"/>
  <c r="N63" i="40"/>
  <c r="N26" i="41" s="1"/>
  <c r="L63" i="40"/>
  <c r="M26" i="41" s="1"/>
  <c r="O62" i="40"/>
  <c r="M62" i="40"/>
  <c r="K62" i="40"/>
  <c r="H62" i="40"/>
  <c r="I61" i="40"/>
  <c r="P41" i="40"/>
  <c r="P37" i="40" s="1"/>
  <c r="O21" i="41" s="1"/>
  <c r="N41" i="40"/>
  <c r="L41" i="40"/>
  <c r="L37" i="40" s="1"/>
  <c r="M21" i="41" s="1"/>
  <c r="N37" i="40"/>
  <c r="N21" i="41" s="1"/>
  <c r="P26" i="40"/>
  <c r="N26" i="40"/>
  <c r="L26" i="40"/>
  <c r="D25" i="40"/>
  <c r="P23" i="40"/>
  <c r="N23" i="40"/>
  <c r="L23" i="40"/>
  <c r="D23" i="40"/>
  <c r="P22" i="40"/>
  <c r="N22" i="40"/>
  <c r="L22" i="40"/>
  <c r="H22" i="40"/>
  <c r="D22" i="40"/>
  <c r="P21" i="40"/>
  <c r="N21" i="40"/>
  <c r="L21" i="40"/>
  <c r="D21" i="40"/>
  <c r="P20" i="40"/>
  <c r="N20" i="40"/>
  <c r="L20" i="40"/>
  <c r="D20" i="40"/>
  <c r="O17" i="40"/>
  <c r="M17" i="40"/>
  <c r="J17" i="40"/>
  <c r="O14" i="40"/>
  <c r="M14" i="40"/>
  <c r="K14" i="40"/>
  <c r="O9" i="40"/>
  <c r="O36" i="40" s="1"/>
  <c r="M9" i="40"/>
  <c r="N7" i="41" s="1"/>
  <c r="AC6" i="3" s="1"/>
  <c r="K9" i="40"/>
  <c r="K36" i="40" s="1"/>
  <c r="O33" i="38"/>
  <c r="M33" i="38"/>
  <c r="K33" i="38"/>
  <c r="K33" i="36"/>
  <c r="O33" i="36"/>
  <c r="M33" i="36"/>
  <c r="K33" i="34"/>
  <c r="O33" i="34"/>
  <c r="M33" i="34"/>
  <c r="N9" i="42" l="1"/>
  <c r="P9" i="42"/>
  <c r="K11" i="42"/>
  <c r="M11" i="42"/>
  <c r="O11" i="42"/>
  <c r="M33" i="42"/>
  <c r="O33" i="42"/>
  <c r="K35" i="42"/>
  <c r="M35" i="42"/>
  <c r="O35" i="42"/>
  <c r="M7" i="43"/>
  <c r="AE6" i="3" s="1"/>
  <c r="O7" i="43"/>
  <c r="AG6" i="3" s="1"/>
  <c r="K34" i="42"/>
  <c r="M34" i="42"/>
  <c r="O34" i="42"/>
  <c r="M36" i="42"/>
  <c r="L9" i="40"/>
  <c r="N9" i="40"/>
  <c r="P9" i="40"/>
  <c r="K11" i="40"/>
  <c r="M11" i="40"/>
  <c r="O11" i="40"/>
  <c r="K33" i="40"/>
  <c r="M33" i="40"/>
  <c r="O33" i="40"/>
  <c r="K35" i="40"/>
  <c r="M35" i="40"/>
  <c r="O35" i="40"/>
  <c r="M7" i="41"/>
  <c r="AB6" i="3" s="1"/>
  <c r="O7" i="41"/>
  <c r="AD6" i="3" s="1"/>
  <c r="K34" i="40"/>
  <c r="M34" i="40"/>
  <c r="O34" i="40"/>
  <c r="M36" i="40"/>
  <c r="L11" i="42" l="1"/>
  <c r="L12" i="42" s="1"/>
  <c r="K15" i="42"/>
  <c r="K16" i="42"/>
  <c r="M13" i="43" s="1"/>
  <c r="AE12" i="3" s="1"/>
  <c r="O15" i="40"/>
  <c r="O16" i="40"/>
  <c r="O13" i="43"/>
  <c r="AG12" i="3" s="1"/>
  <c r="O12" i="43"/>
  <c r="AG11" i="3" s="1"/>
  <c r="N12" i="43"/>
  <c r="AF11" i="3" s="1"/>
  <c r="N9" i="43"/>
  <c r="AF8" i="3" s="1"/>
  <c r="N11" i="42"/>
  <c r="N13" i="43"/>
  <c r="AF12" i="3" s="1"/>
  <c r="O8" i="43"/>
  <c r="AG7" i="3" s="1"/>
  <c r="P10" i="42"/>
  <c r="O37" i="43" s="1"/>
  <c r="AG31" i="3" s="1"/>
  <c r="M8" i="43"/>
  <c r="AE7" i="3" s="1"/>
  <c r="M37" i="43"/>
  <c r="AE31" i="3" s="1"/>
  <c r="P11" i="42"/>
  <c r="O9" i="43"/>
  <c r="AG8" i="3" s="1"/>
  <c r="M9" i="43"/>
  <c r="AE8" i="3" s="1"/>
  <c r="M12" i="43"/>
  <c r="AE11" i="3" s="1"/>
  <c r="N8" i="43"/>
  <c r="AF7" i="3" s="1"/>
  <c r="N10" i="42"/>
  <c r="N37" i="43" s="1"/>
  <c r="AF31" i="3" s="1"/>
  <c r="N9" i="41"/>
  <c r="AC8" i="3" s="1"/>
  <c r="M15" i="40"/>
  <c r="N12" i="41" s="1"/>
  <c r="AC11" i="3" s="1"/>
  <c r="N11" i="40"/>
  <c r="M16" i="40"/>
  <c r="N13" i="41" s="1"/>
  <c r="AC12" i="3" s="1"/>
  <c r="O8" i="41"/>
  <c r="AD7" i="3" s="1"/>
  <c r="P10" i="40"/>
  <c r="O37" i="41" s="1"/>
  <c r="AD31" i="3" s="1"/>
  <c r="M8" i="41"/>
  <c r="AB7" i="3" s="1"/>
  <c r="L10" i="40"/>
  <c r="M37" i="41" s="1"/>
  <c r="AB31" i="3" s="1"/>
  <c r="O13" i="41"/>
  <c r="AD12" i="3" s="1"/>
  <c r="P11" i="40"/>
  <c r="O9" i="41"/>
  <c r="AD8" i="3" s="1"/>
  <c r="O12" i="41"/>
  <c r="AD11" i="3" s="1"/>
  <c r="M13" i="41"/>
  <c r="AB12" i="3" s="1"/>
  <c r="L11" i="40"/>
  <c r="M9" i="41"/>
  <c r="AB8" i="3" s="1"/>
  <c r="M12" i="41"/>
  <c r="AB11" i="3" s="1"/>
  <c r="N8" i="41"/>
  <c r="AC7" i="3" s="1"/>
  <c r="N10" i="40"/>
  <c r="N37" i="41" s="1"/>
  <c r="AC31" i="3" s="1"/>
  <c r="T40" i="3"/>
  <c r="AM40" i="3"/>
  <c r="AL40" i="3"/>
  <c r="AK40" i="3"/>
  <c r="AM31" i="3"/>
  <c r="AL31" i="3"/>
  <c r="AK31" i="3"/>
  <c r="AM21" i="3"/>
  <c r="AL21" i="3"/>
  <c r="AK21" i="3"/>
  <c r="AM17" i="3"/>
  <c r="AL17" i="3"/>
  <c r="AK17" i="3"/>
  <c r="AM8" i="3"/>
  <c r="AL8" i="3"/>
  <c r="AK8" i="3"/>
  <c r="AM7" i="3"/>
  <c r="AL7" i="3"/>
  <c r="AK7" i="3"/>
  <c r="AM6" i="3"/>
  <c r="AL6" i="3"/>
  <c r="AK6" i="3"/>
  <c r="AM5" i="3"/>
  <c r="AL5" i="3"/>
  <c r="AK5" i="3"/>
  <c r="M10" i="43" l="1"/>
  <c r="L61" i="42"/>
  <c r="M11" i="43"/>
  <c r="O10" i="43"/>
  <c r="P61" i="42"/>
  <c r="P12" i="42"/>
  <c r="O11" i="43" s="1"/>
  <c r="N12" i="42"/>
  <c r="N11" i="43" s="1"/>
  <c r="N10" i="43"/>
  <c r="N61" i="42"/>
  <c r="I37" i="41"/>
  <c r="M39" i="41" s="1"/>
  <c r="M10" i="41"/>
  <c r="L61" i="40"/>
  <c r="L12" i="40"/>
  <c r="M11" i="41" s="1"/>
  <c r="O10" i="41"/>
  <c r="P61" i="40"/>
  <c r="P12" i="40"/>
  <c r="O11" i="41" s="1"/>
  <c r="N12" i="40"/>
  <c r="N11" i="41" s="1"/>
  <c r="N10" i="41"/>
  <c r="N61" i="40"/>
  <c r="O42" i="47"/>
  <c r="AM36" i="3" s="1"/>
  <c r="N42" i="47"/>
  <c r="AL36" i="3" s="1"/>
  <c r="M42" i="47"/>
  <c r="AK36" i="3" s="1"/>
  <c r="Z31" i="47"/>
  <c r="C15" i="47"/>
  <c r="C16" i="47" s="1"/>
  <c r="C17" i="47" s="1"/>
  <c r="C19" i="47" s="1"/>
  <c r="C20" i="47" s="1"/>
  <c r="C21" i="47" s="1"/>
  <c r="C22" i="47" s="1"/>
  <c r="C23" i="47" s="1"/>
  <c r="C24" i="47" s="1"/>
  <c r="C25" i="47" s="1"/>
  <c r="C26" i="47" s="1"/>
  <c r="C27" i="47" s="1"/>
  <c r="C28" i="47" s="1"/>
  <c r="C30" i="47" s="1"/>
  <c r="C31" i="47" s="1"/>
  <c r="C32" i="47" s="1"/>
  <c r="C33" i="47" s="1"/>
  <c r="C34" i="47" s="1"/>
  <c r="C36" i="47" s="1"/>
  <c r="C37" i="47" s="1"/>
  <c r="C38" i="47" s="1"/>
  <c r="C39" i="47" s="1"/>
  <c r="C40" i="47" s="1"/>
  <c r="C41" i="47" s="1"/>
  <c r="C42" i="47" s="1"/>
  <c r="C43" i="47" s="1"/>
  <c r="C44" i="47" s="1"/>
  <c r="C46" i="47" s="1"/>
  <c r="C47" i="47" s="1"/>
  <c r="C48" i="47" s="1"/>
  <c r="C49" i="47" s="1"/>
  <c r="C50" i="47" s="1"/>
  <c r="C52" i="47" s="1"/>
  <c r="C53" i="47" s="1"/>
  <c r="C54" i="47" s="1"/>
  <c r="C55" i="47" s="1"/>
  <c r="C56" i="47" s="1"/>
  <c r="C57" i="47" s="1"/>
  <c r="C58" i="47" s="1"/>
  <c r="C59" i="47" s="1"/>
  <c r="C60" i="47" s="1"/>
  <c r="C61" i="47" s="1"/>
  <c r="C62" i="47" s="1"/>
  <c r="C63" i="47" s="1"/>
  <c r="C65" i="47" s="1"/>
  <c r="C66" i="47" s="1"/>
  <c r="C67" i="47" s="1"/>
  <c r="C68" i="47" s="1"/>
  <c r="O6" i="47"/>
  <c r="N6" i="47"/>
  <c r="M6" i="47"/>
  <c r="G3" i="47"/>
  <c r="F3" i="47"/>
  <c r="O2" i="47"/>
  <c r="P68" i="46"/>
  <c r="P67" i="46" s="1"/>
  <c r="O23" i="47" s="1"/>
  <c r="N68" i="46"/>
  <c r="L68" i="46"/>
  <c r="L67" i="46" s="1"/>
  <c r="M23" i="47" s="1"/>
  <c r="N67" i="46"/>
  <c r="N23" i="47" s="1"/>
  <c r="V63" i="46"/>
  <c r="P63" i="46"/>
  <c r="O26" i="47" s="1"/>
  <c r="N63" i="46"/>
  <c r="N26" i="47" s="1"/>
  <c r="L63" i="46"/>
  <c r="M26" i="47" s="1"/>
  <c r="O62" i="46"/>
  <c r="M62" i="46"/>
  <c r="K62" i="46"/>
  <c r="H62" i="46"/>
  <c r="P41" i="46"/>
  <c r="P37" i="46" s="1"/>
  <c r="O21" i="47" s="1"/>
  <c r="N41" i="46"/>
  <c r="L41" i="46"/>
  <c r="L37" i="46" s="1"/>
  <c r="M21" i="47" s="1"/>
  <c r="N37" i="46"/>
  <c r="N21" i="47" s="1"/>
  <c r="P26" i="46"/>
  <c r="N26" i="46"/>
  <c r="L26" i="46"/>
  <c r="D25" i="46"/>
  <c r="P23" i="46"/>
  <c r="N23" i="46"/>
  <c r="L23" i="46"/>
  <c r="D23" i="46"/>
  <c r="P22" i="46"/>
  <c r="N22" i="46"/>
  <c r="L22" i="46"/>
  <c r="H22" i="46"/>
  <c r="D22" i="46"/>
  <c r="P21" i="46"/>
  <c r="N21" i="46"/>
  <c r="L21" i="46"/>
  <c r="D21" i="46"/>
  <c r="P20" i="46"/>
  <c r="N20" i="46"/>
  <c r="L20" i="46"/>
  <c r="D20" i="46"/>
  <c r="O17" i="46"/>
  <c r="M17" i="46"/>
  <c r="J17" i="46"/>
  <c r="O14" i="46"/>
  <c r="M14" i="46"/>
  <c r="K14" i="46"/>
  <c r="O9" i="46"/>
  <c r="O7" i="47" s="1"/>
  <c r="M9" i="46"/>
  <c r="M36" i="46" s="1"/>
  <c r="K9" i="46"/>
  <c r="M7" i="47" s="1"/>
  <c r="O20" i="3"/>
  <c r="N39" i="41" l="1"/>
  <c r="AC33" i="3" s="1"/>
  <c r="AB33" i="3"/>
  <c r="O39" i="41"/>
  <c r="P9" i="46"/>
  <c r="O53" i="46" s="1"/>
  <c r="O11" i="46"/>
  <c r="O9" i="47" s="1"/>
  <c r="N9" i="46"/>
  <c r="N8" i="47" s="1"/>
  <c r="M11" i="46"/>
  <c r="M16" i="46" s="1"/>
  <c r="N13" i="47" s="1"/>
  <c r="AL12" i="3" s="1"/>
  <c r="K11" i="46"/>
  <c r="M9" i="47" s="1"/>
  <c r="L9" i="46"/>
  <c r="K53" i="46" s="1"/>
  <c r="L10" i="46"/>
  <c r="M37" i="47" s="1"/>
  <c r="P10" i="46"/>
  <c r="O37" i="47" s="1"/>
  <c r="L11" i="46"/>
  <c r="N11" i="46"/>
  <c r="K16" i="46"/>
  <c r="M13" i="47" s="1"/>
  <c r="AK12" i="3" s="1"/>
  <c r="K35" i="46"/>
  <c r="M35" i="46"/>
  <c r="O35" i="46"/>
  <c r="K54" i="46"/>
  <c r="M54" i="46"/>
  <c r="N7" i="47"/>
  <c r="M8" i="47"/>
  <c r="N9" i="47"/>
  <c r="N10" i="46"/>
  <c r="N37" i="47" s="1"/>
  <c r="K15" i="46"/>
  <c r="K34" i="46"/>
  <c r="M34" i="46"/>
  <c r="O34" i="46"/>
  <c r="K36" i="46"/>
  <c r="O36" i="46"/>
  <c r="M53" i="46"/>
  <c r="AO5" i="3"/>
  <c r="AN5" i="3"/>
  <c r="AD33" i="3" l="1"/>
  <c r="O8" i="47"/>
  <c r="O54" i="46"/>
  <c r="M15" i="46"/>
  <c r="N12" i="47" s="1"/>
  <c r="AL11" i="3" s="1"/>
  <c r="O15" i="46"/>
  <c r="O66" i="46" s="1"/>
  <c r="P65" i="46" s="1"/>
  <c r="O22" i="47" s="1"/>
  <c r="AM20" i="3" s="1"/>
  <c r="O16" i="46"/>
  <c r="O13" i="47" s="1"/>
  <c r="AM12" i="3" s="1"/>
  <c r="P11" i="46"/>
  <c r="O10" i="47" s="1"/>
  <c r="K66" i="46"/>
  <c r="L65" i="46" s="1"/>
  <c r="M22" i="47" s="1"/>
  <c r="AK20" i="3" s="1"/>
  <c r="M12" i="47"/>
  <c r="AK11" i="3" s="1"/>
  <c r="P12" i="46"/>
  <c r="O11" i="47" s="1"/>
  <c r="L12" i="46"/>
  <c r="M11" i="47" s="1"/>
  <c r="M10" i="47"/>
  <c r="O12" i="47"/>
  <c r="AM11" i="3" s="1"/>
  <c r="M66" i="46"/>
  <c r="N65" i="46" s="1"/>
  <c r="N22" i="47" s="1"/>
  <c r="AL20" i="3" s="1"/>
  <c r="N10" i="47"/>
  <c r="N12" i="46"/>
  <c r="N11" i="47" s="1"/>
  <c r="S11" i="4"/>
  <c r="Q11" i="4"/>
  <c r="AP40" i="3"/>
  <c r="AO40" i="3"/>
  <c r="AN40" i="3"/>
  <c r="AP37" i="3"/>
  <c r="AO37" i="3"/>
  <c r="AN37" i="3"/>
  <c r="AP36" i="3"/>
  <c r="AO36" i="3"/>
  <c r="AN36" i="3"/>
  <c r="AP35" i="3"/>
  <c r="AO35" i="3"/>
  <c r="AN35" i="3"/>
  <c r="AP34" i="3"/>
  <c r="AO34" i="3"/>
  <c r="AN34" i="3"/>
  <c r="AP31" i="3"/>
  <c r="AO31" i="3"/>
  <c r="AN31" i="3"/>
  <c r="AP21" i="3"/>
  <c r="AO21" i="3"/>
  <c r="AN21" i="3"/>
  <c r="AP20" i="3"/>
  <c r="AO20" i="3"/>
  <c r="AN20" i="3"/>
  <c r="AP17" i="3"/>
  <c r="AO17" i="3"/>
  <c r="AN17" i="3"/>
  <c r="AP8" i="3"/>
  <c r="AO8" i="3"/>
  <c r="AN8" i="3"/>
  <c r="AP7" i="3"/>
  <c r="AO7" i="3"/>
  <c r="AN7" i="3"/>
  <c r="AP6" i="3"/>
  <c r="AO6" i="3"/>
  <c r="AN6" i="3"/>
  <c r="AP5" i="3"/>
  <c r="K54" i="48"/>
  <c r="K54" i="44"/>
  <c r="K34" i="48"/>
  <c r="M34" i="48"/>
  <c r="Z31" i="49"/>
  <c r="C15" i="49"/>
  <c r="C16" i="49" s="1"/>
  <c r="C17" i="49" s="1"/>
  <c r="C19" i="49" s="1"/>
  <c r="C20" i="49" s="1"/>
  <c r="C21" i="49" s="1"/>
  <c r="C22" i="49" s="1"/>
  <c r="C23" i="49" s="1"/>
  <c r="C24" i="49" s="1"/>
  <c r="C25" i="49" s="1"/>
  <c r="C26" i="49" s="1"/>
  <c r="C27" i="49" s="1"/>
  <c r="C28" i="49" s="1"/>
  <c r="C30" i="49" s="1"/>
  <c r="C31" i="49" s="1"/>
  <c r="C32" i="49" s="1"/>
  <c r="C33" i="49" s="1"/>
  <c r="C34" i="49" s="1"/>
  <c r="C36" i="49" s="1"/>
  <c r="C37" i="49" s="1"/>
  <c r="C38" i="49" s="1"/>
  <c r="C39" i="49" s="1"/>
  <c r="C40" i="49" s="1"/>
  <c r="C41" i="49" s="1"/>
  <c r="C42" i="49" s="1"/>
  <c r="C43" i="49" s="1"/>
  <c r="C44" i="49" s="1"/>
  <c r="C46" i="49" s="1"/>
  <c r="C47" i="49" s="1"/>
  <c r="C48" i="49" s="1"/>
  <c r="C49" i="49" s="1"/>
  <c r="C50" i="49" s="1"/>
  <c r="C52" i="49" s="1"/>
  <c r="C53" i="49" s="1"/>
  <c r="C54" i="49" s="1"/>
  <c r="C55" i="49" s="1"/>
  <c r="C56" i="49" s="1"/>
  <c r="C57" i="49" s="1"/>
  <c r="C58" i="49" s="1"/>
  <c r="C59" i="49" s="1"/>
  <c r="C60" i="49" s="1"/>
  <c r="C61" i="49" s="1"/>
  <c r="C62" i="49" s="1"/>
  <c r="C63" i="49" s="1"/>
  <c r="C65" i="49" s="1"/>
  <c r="C66" i="49" s="1"/>
  <c r="C67" i="49" s="1"/>
  <c r="C68" i="49" s="1"/>
  <c r="O6" i="49"/>
  <c r="N6" i="49"/>
  <c r="M6" i="49"/>
  <c r="G3" i="49"/>
  <c r="F3" i="49"/>
  <c r="O2" i="49"/>
  <c r="P68" i="48"/>
  <c r="P67" i="48" s="1"/>
  <c r="O23" i="49" s="1"/>
  <c r="N68" i="48"/>
  <c r="N67" i="48" s="1"/>
  <c r="N23" i="49" s="1"/>
  <c r="L68" i="48"/>
  <c r="L67" i="48"/>
  <c r="M23" i="49" s="1"/>
  <c r="V63" i="48"/>
  <c r="P63" i="48"/>
  <c r="O26" i="49" s="1"/>
  <c r="N63" i="48"/>
  <c r="N26" i="49" s="1"/>
  <c r="L63" i="48"/>
  <c r="M26" i="49" s="1"/>
  <c r="O62" i="48"/>
  <c r="M62" i="48"/>
  <c r="K62" i="48"/>
  <c r="H62" i="48"/>
  <c r="P41" i="48"/>
  <c r="N41" i="48"/>
  <c r="N37" i="48" s="1"/>
  <c r="N21" i="49" s="1"/>
  <c r="L41" i="48"/>
  <c r="P37" i="48"/>
  <c r="O21" i="49" s="1"/>
  <c r="L37" i="48"/>
  <c r="M21" i="49" s="1"/>
  <c r="P26" i="48"/>
  <c r="N26" i="48"/>
  <c r="L26" i="48"/>
  <c r="D25" i="48"/>
  <c r="P23" i="48"/>
  <c r="N23" i="48"/>
  <c r="L23" i="48"/>
  <c r="D23" i="48"/>
  <c r="P22" i="48"/>
  <c r="N22" i="48"/>
  <c r="L22" i="48"/>
  <c r="H22" i="48"/>
  <c r="D22" i="48"/>
  <c r="P21" i="48"/>
  <c r="N21" i="48"/>
  <c r="L21" i="48"/>
  <c r="D21" i="48"/>
  <c r="P20" i="48"/>
  <c r="N20" i="48"/>
  <c r="L20" i="48"/>
  <c r="D20" i="48"/>
  <c r="O17" i="48"/>
  <c r="M17" i="48"/>
  <c r="J17" i="48"/>
  <c r="O14" i="48"/>
  <c r="M14" i="48"/>
  <c r="K14" i="48"/>
  <c r="O9" i="48"/>
  <c r="O35" i="48" s="1"/>
  <c r="M9" i="48"/>
  <c r="N7" i="49" s="1"/>
  <c r="K9" i="48"/>
  <c r="K35" i="48" s="1"/>
  <c r="J11" i="4"/>
  <c r="O5" i="3"/>
  <c r="O40" i="3"/>
  <c r="O21" i="3"/>
  <c r="O13" i="3"/>
  <c r="L9" i="48" l="1"/>
  <c r="N9" i="48"/>
  <c r="P9" i="48"/>
  <c r="K11" i="48"/>
  <c r="M11" i="48"/>
  <c r="O11" i="48"/>
  <c r="L19" i="48"/>
  <c r="L18" i="48" s="1"/>
  <c r="M16" i="49" s="1"/>
  <c r="P19" i="48"/>
  <c r="P18" i="48" s="1"/>
  <c r="O16" i="49" s="1"/>
  <c r="O34" i="48"/>
  <c r="K36" i="48"/>
  <c r="M36" i="48"/>
  <c r="O36" i="48"/>
  <c r="M7" i="49"/>
  <c r="O7" i="49"/>
  <c r="M35" i="48"/>
  <c r="F3" i="31"/>
  <c r="N9" i="49" l="1"/>
  <c r="M15" i="48"/>
  <c r="N11" i="48"/>
  <c r="M16" i="48"/>
  <c r="N13" i="49" s="1"/>
  <c r="AO12" i="3" s="1"/>
  <c r="O8" i="49"/>
  <c r="O54" i="48"/>
  <c r="P10" i="48"/>
  <c r="O37" i="49" s="1"/>
  <c r="M8" i="49"/>
  <c r="L10" i="48"/>
  <c r="M37" i="49" s="1"/>
  <c r="O16" i="48"/>
  <c r="O13" i="49" s="1"/>
  <c r="AP12" i="3" s="1"/>
  <c r="P11" i="48"/>
  <c r="O9" i="49"/>
  <c r="O15" i="48"/>
  <c r="K16" i="48"/>
  <c r="M13" i="49" s="1"/>
  <c r="AN12" i="3" s="1"/>
  <c r="L11" i="48"/>
  <c r="M9" i="49"/>
  <c r="K15" i="48"/>
  <c r="M54" i="48"/>
  <c r="N8" i="49"/>
  <c r="N10" i="48"/>
  <c r="N37" i="49" s="1"/>
  <c r="M43" i="31"/>
  <c r="O36" i="3" s="1"/>
  <c r="AA30" i="31"/>
  <c r="C17" i="31"/>
  <c r="C19" i="31" s="1"/>
  <c r="C20" i="31" s="1"/>
  <c r="C21" i="31" s="1"/>
  <c r="C22" i="31" s="1"/>
  <c r="C23" i="31" s="1"/>
  <c r="C24" i="31" s="1"/>
  <c r="C25" i="31" s="1"/>
  <c r="C26" i="31" s="1"/>
  <c r="C27" i="31" s="1"/>
  <c r="C28" i="31" s="1"/>
  <c r="C29" i="31" s="1"/>
  <c r="C30" i="31" s="1"/>
  <c r="C31" i="31" s="1"/>
  <c r="C32" i="31" s="1"/>
  <c r="C33" i="31" s="1"/>
  <c r="C34" i="31" s="1"/>
  <c r="C36" i="31" s="1"/>
  <c r="C37" i="31" s="1"/>
  <c r="C38" i="31" s="1"/>
  <c r="C39" i="31" s="1"/>
  <c r="C40" i="31" s="1"/>
  <c r="C41" i="31" s="1"/>
  <c r="C42" i="31" s="1"/>
  <c r="C43" i="31" s="1"/>
  <c r="C44" i="31" s="1"/>
  <c r="C45" i="31" s="1"/>
  <c r="C47" i="31" s="1"/>
  <c r="C48" i="31" s="1"/>
  <c r="C49" i="31" s="1"/>
  <c r="C50" i="31" s="1"/>
  <c r="C51" i="31" s="1"/>
  <c r="C52" i="31" s="1"/>
  <c r="C53" i="31" s="1"/>
  <c r="C55" i="31" s="1"/>
  <c r="C56" i="31" s="1"/>
  <c r="C57" i="31" s="1"/>
  <c r="C58" i="31" s="1"/>
  <c r="C59" i="31" s="1"/>
  <c r="C60" i="31" s="1"/>
  <c r="C62" i="31" s="1"/>
  <c r="C63" i="31" s="1"/>
  <c r="C64" i="31" s="1"/>
  <c r="C65" i="31" s="1"/>
  <c r="C66" i="31" s="1"/>
  <c r="C68" i="31" s="1"/>
  <c r="C69" i="31" s="1"/>
  <c r="C70" i="31" s="1"/>
  <c r="C71" i="31" s="1"/>
  <c r="C16" i="31"/>
  <c r="R11" i="31"/>
  <c r="R58" i="31" s="1"/>
  <c r="Q11" i="31"/>
  <c r="Q58" i="31" s="1"/>
  <c r="P11" i="31"/>
  <c r="P58" i="31" s="1"/>
  <c r="O11" i="31"/>
  <c r="O58" i="31" s="1"/>
  <c r="N11" i="31"/>
  <c r="N58" i="31" s="1"/>
  <c r="M11" i="31"/>
  <c r="M58" i="31" s="1"/>
  <c r="M6" i="31"/>
  <c r="I3" i="31"/>
  <c r="R2" i="31"/>
  <c r="Q78" i="30"/>
  <c r="R38" i="31" s="1"/>
  <c r="P78" i="30"/>
  <c r="Q38" i="31" s="1"/>
  <c r="O78" i="30"/>
  <c r="P38" i="31" s="1"/>
  <c r="N78" i="30"/>
  <c r="O38" i="31" s="1"/>
  <c r="M78" i="30"/>
  <c r="N38" i="31" s="1"/>
  <c r="L77" i="30"/>
  <c r="P70" i="30"/>
  <c r="Q69" i="30"/>
  <c r="Q67" i="30" s="1"/>
  <c r="R23" i="31" s="1"/>
  <c r="P69" i="30"/>
  <c r="O69" i="30"/>
  <c r="N69" i="30"/>
  <c r="M69" i="30"/>
  <c r="L69" i="30" s="1"/>
  <c r="O67" i="30"/>
  <c r="P23" i="31" s="1"/>
  <c r="N67" i="30"/>
  <c r="O23" i="31" s="1"/>
  <c r="M67" i="30"/>
  <c r="N23" i="31" s="1"/>
  <c r="K66" i="30"/>
  <c r="Q64" i="30"/>
  <c r="R26" i="31" s="1"/>
  <c r="P64" i="30"/>
  <c r="Q26" i="31" s="1"/>
  <c r="O64" i="30"/>
  <c r="P26" i="31" s="1"/>
  <c r="N64" i="30"/>
  <c r="O26" i="31" s="1"/>
  <c r="M64" i="30"/>
  <c r="N26" i="31" s="1"/>
  <c r="L64" i="30"/>
  <c r="M26" i="31" s="1"/>
  <c r="X63" i="30"/>
  <c r="W63" i="30"/>
  <c r="V63" i="30"/>
  <c r="U63" i="30"/>
  <c r="T63" i="30"/>
  <c r="K63" i="30"/>
  <c r="J63" i="30"/>
  <c r="G63" i="30"/>
  <c r="U62" i="30"/>
  <c r="T62" i="30"/>
  <c r="X61" i="30"/>
  <c r="W61" i="30"/>
  <c r="V61" i="30"/>
  <c r="U61" i="30"/>
  <c r="T61" i="30"/>
  <c r="J61" i="30"/>
  <c r="AD56" i="30"/>
  <c r="AC56" i="30"/>
  <c r="AB56" i="30"/>
  <c r="AA56" i="30"/>
  <c r="Z56" i="30"/>
  <c r="X56" i="30"/>
  <c r="W56" i="30"/>
  <c r="V56" i="30"/>
  <c r="U56" i="30"/>
  <c r="T56" i="30"/>
  <c r="J56" i="30"/>
  <c r="AD55" i="30"/>
  <c r="AC55" i="30"/>
  <c r="AB55" i="30"/>
  <c r="AA55" i="30"/>
  <c r="Z55" i="30"/>
  <c r="X55" i="30"/>
  <c r="W55" i="30"/>
  <c r="V55" i="30"/>
  <c r="U55" i="30"/>
  <c r="T55" i="30"/>
  <c r="J55" i="30"/>
  <c r="AD54" i="30"/>
  <c r="AC54" i="30"/>
  <c r="AB54" i="30"/>
  <c r="AA54" i="30"/>
  <c r="Z54" i="30"/>
  <c r="X54" i="30"/>
  <c r="W54" i="30"/>
  <c r="V54" i="30"/>
  <c r="U54" i="30"/>
  <c r="T54" i="30"/>
  <c r="J54" i="30"/>
  <c r="AD53" i="30"/>
  <c r="AC53" i="30"/>
  <c r="AB53" i="30"/>
  <c r="AA53" i="30"/>
  <c r="Z53" i="30"/>
  <c r="X53" i="30"/>
  <c r="W53" i="30"/>
  <c r="V53" i="30"/>
  <c r="U53" i="30"/>
  <c r="T53" i="30"/>
  <c r="J53" i="30"/>
  <c r="AD52" i="30"/>
  <c r="AC52" i="30"/>
  <c r="AB52" i="30"/>
  <c r="AA52" i="30"/>
  <c r="Z52" i="30"/>
  <c r="X52" i="30"/>
  <c r="W52" i="30"/>
  <c r="V52" i="30"/>
  <c r="U52" i="30"/>
  <c r="T52" i="30"/>
  <c r="J52" i="30"/>
  <c r="AD51" i="30"/>
  <c r="AC51" i="30"/>
  <c r="AB51" i="30"/>
  <c r="AA51" i="30"/>
  <c r="Z51" i="30"/>
  <c r="X51" i="30"/>
  <c r="W51" i="30"/>
  <c r="V51" i="30"/>
  <c r="U51" i="30"/>
  <c r="T51" i="30"/>
  <c r="J51" i="30"/>
  <c r="AD50" i="30"/>
  <c r="AC50" i="30"/>
  <c r="X50" i="30"/>
  <c r="W50" i="30"/>
  <c r="AD49" i="30"/>
  <c r="AC49" i="30"/>
  <c r="AB49" i="30"/>
  <c r="AA49" i="30"/>
  <c r="Z49" i="30"/>
  <c r="X49" i="30"/>
  <c r="W49" i="30"/>
  <c r="V49" i="30"/>
  <c r="U49" i="30"/>
  <c r="T49" i="30"/>
  <c r="J49" i="30"/>
  <c r="AD48" i="30"/>
  <c r="AC48" i="30"/>
  <c r="X48" i="30"/>
  <c r="W48" i="30"/>
  <c r="J48" i="30"/>
  <c r="AD47" i="30"/>
  <c r="AC47" i="30"/>
  <c r="X47" i="30"/>
  <c r="W47" i="30"/>
  <c r="J47" i="30"/>
  <c r="AD46" i="30"/>
  <c r="AC46" i="30"/>
  <c r="AB46" i="30"/>
  <c r="AA46" i="30"/>
  <c r="Z46" i="30"/>
  <c r="X46" i="30"/>
  <c r="W46" i="30"/>
  <c r="V46" i="30"/>
  <c r="U46" i="30"/>
  <c r="T46" i="30"/>
  <c r="J46" i="30"/>
  <c r="L29" i="30"/>
  <c r="L28" i="30"/>
  <c r="J24" i="30"/>
  <c r="Q21" i="30"/>
  <c r="P21" i="30"/>
  <c r="O21" i="30"/>
  <c r="N21" i="30"/>
  <c r="M21" i="30"/>
  <c r="N16" i="30"/>
  <c r="M16" i="30"/>
  <c r="N37" i="31" s="1"/>
  <c r="T13" i="30"/>
  <c r="T12" i="30"/>
  <c r="Q12" i="30"/>
  <c r="Q16" i="30" s="1"/>
  <c r="R37" i="31" s="1"/>
  <c r="R40" i="31" s="1"/>
  <c r="P12" i="30"/>
  <c r="O12" i="30"/>
  <c r="O16" i="30" s="1"/>
  <c r="P37" i="31" s="1"/>
  <c r="P40" i="31" s="1"/>
  <c r="N12" i="30"/>
  <c r="M12" i="30"/>
  <c r="T11" i="30"/>
  <c r="Q11" i="30"/>
  <c r="Q18" i="30" s="1"/>
  <c r="R10" i="31" s="1"/>
  <c r="R56" i="31" s="1"/>
  <c r="P11" i="30"/>
  <c r="P18" i="30" s="1"/>
  <c r="Q10" i="31" s="1"/>
  <c r="Q56" i="31" s="1"/>
  <c r="O11" i="30"/>
  <c r="N11" i="30"/>
  <c r="M11" i="30"/>
  <c r="T10" i="30"/>
  <c r="Q10" i="30"/>
  <c r="Q15" i="30" s="1"/>
  <c r="Q62" i="30" s="1"/>
  <c r="X62" i="30" s="1"/>
  <c r="Q59" i="30" s="1"/>
  <c r="R25" i="31" s="1"/>
  <c r="P10" i="30"/>
  <c r="P15" i="30" s="1"/>
  <c r="Q8" i="31" s="1"/>
  <c r="Q29" i="31" s="1"/>
  <c r="O10" i="30"/>
  <c r="N10" i="30"/>
  <c r="M10" i="30"/>
  <c r="T9" i="30"/>
  <c r="Q9" i="30"/>
  <c r="P9" i="30"/>
  <c r="O9" i="30"/>
  <c r="N9" i="30"/>
  <c r="M9" i="30"/>
  <c r="T8" i="30"/>
  <c r="Q8" i="30"/>
  <c r="P8" i="30"/>
  <c r="O8" i="30"/>
  <c r="N8" i="30"/>
  <c r="M8" i="30"/>
  <c r="T7" i="30"/>
  <c r="R7" i="30"/>
  <c r="I7" i="30" s="1"/>
  <c r="T6" i="30"/>
  <c r="Q6" i="30"/>
  <c r="Q14" i="30" s="1"/>
  <c r="P6" i="30"/>
  <c r="Q6" i="31" s="1"/>
  <c r="O6" i="30"/>
  <c r="N6" i="30"/>
  <c r="O6" i="31" s="1"/>
  <c r="M6" i="30"/>
  <c r="T5" i="30"/>
  <c r="M5" i="30" s="1"/>
  <c r="N5" i="31" s="1"/>
  <c r="Q5" i="30"/>
  <c r="R5" i="31" s="1"/>
  <c r="P5" i="30"/>
  <c r="Q5" i="31" s="1"/>
  <c r="O5" i="30"/>
  <c r="P5" i="31" s="1"/>
  <c r="N5" i="30"/>
  <c r="O5" i="31" s="1"/>
  <c r="T4" i="30"/>
  <c r="F32" i="12"/>
  <c r="P43" i="30" l="1"/>
  <c r="Q24" i="31" s="1"/>
  <c r="Q57" i="30"/>
  <c r="Q58" i="30" s="1"/>
  <c r="R36" i="31" s="1"/>
  <c r="Q43" i="30"/>
  <c r="R24" i="31" s="1"/>
  <c r="M14" i="30"/>
  <c r="N7" i="31" s="1"/>
  <c r="N59" i="30"/>
  <c r="O25" i="31" s="1"/>
  <c r="O55" i="41"/>
  <c r="AD48" i="3" s="1"/>
  <c r="N55" i="41"/>
  <c r="AC48" i="3" s="1"/>
  <c r="M59" i="30"/>
  <c r="N25" i="31" s="1"/>
  <c r="M12" i="49"/>
  <c r="AN11" i="3" s="1"/>
  <c r="L65" i="48"/>
  <c r="M22" i="49" s="1"/>
  <c r="M10" i="49"/>
  <c r="L12" i="48"/>
  <c r="M11" i="49" s="1"/>
  <c r="O12" i="49"/>
  <c r="AP11" i="3" s="1"/>
  <c r="P65" i="48"/>
  <c r="O22" i="49" s="1"/>
  <c r="O10" i="49"/>
  <c r="P12" i="48"/>
  <c r="O11" i="49" s="1"/>
  <c r="N65" i="48"/>
  <c r="N22" i="49" s="1"/>
  <c r="N12" i="49"/>
  <c r="AO11" i="3" s="1"/>
  <c r="N12" i="48"/>
  <c r="N11" i="49" s="1"/>
  <c r="N10" i="49"/>
  <c r="N40" i="31"/>
  <c r="P13" i="30"/>
  <c r="O14" i="30"/>
  <c r="O15" i="30" s="1"/>
  <c r="O62" i="30" s="1"/>
  <c r="N13" i="30"/>
  <c r="K8" i="30"/>
  <c r="N14" i="30"/>
  <c r="O7" i="31" s="1"/>
  <c r="M77" i="30"/>
  <c r="P6" i="31"/>
  <c r="P43" i="31" s="1"/>
  <c r="N6" i="31"/>
  <c r="N43" i="31" s="1"/>
  <c r="R6" i="31"/>
  <c r="Q17" i="30"/>
  <c r="L70" i="30"/>
  <c r="P67" i="30"/>
  <c r="Q23" i="31" s="1"/>
  <c r="Q77" i="30"/>
  <c r="R7" i="31"/>
  <c r="M17" i="30"/>
  <c r="M18" i="30" s="1"/>
  <c r="O13" i="30"/>
  <c r="P16" i="30"/>
  <c r="K16" i="30" s="1"/>
  <c r="O43" i="31"/>
  <c r="Q43" i="31"/>
  <c r="M13" i="30"/>
  <c r="Q13" i="30"/>
  <c r="P14" i="30"/>
  <c r="O37" i="31"/>
  <c r="O40" i="31" s="1"/>
  <c r="N77" i="30"/>
  <c r="P57" i="30"/>
  <c r="P58" i="30" s="1"/>
  <c r="Q36" i="31" s="1"/>
  <c r="P62" i="30"/>
  <c r="W62" i="30" s="1"/>
  <c r="P59" i="30" s="1"/>
  <c r="Q25" i="31" s="1"/>
  <c r="L67" i="30"/>
  <c r="M23" i="31" s="1"/>
  <c r="O77" i="30"/>
  <c r="N79" i="30"/>
  <c r="R43" i="31"/>
  <c r="R8" i="31"/>
  <c r="R29" i="31" s="1"/>
  <c r="K9" i="30"/>
  <c r="M79" i="30"/>
  <c r="O79" i="30"/>
  <c r="Q79" i="30"/>
  <c r="K20" i="3"/>
  <c r="L20" i="3"/>
  <c r="M15" i="30" l="1"/>
  <c r="N8" i="31" s="1"/>
  <c r="P7" i="31"/>
  <c r="M55" i="41"/>
  <c r="AB48" i="3" s="1"/>
  <c r="K14" i="30"/>
  <c r="K10" i="30" s="1"/>
  <c r="W66" i="30" s="1"/>
  <c r="O17" i="30"/>
  <c r="O18" i="30" s="1"/>
  <c r="P10" i="31" s="1"/>
  <c r="N17" i="30"/>
  <c r="O9" i="31" s="1"/>
  <c r="P8" i="31"/>
  <c r="N15" i="30"/>
  <c r="O8" i="31" s="1"/>
  <c r="Q7" i="31"/>
  <c r="P17" i="30"/>
  <c r="Q37" i="31"/>
  <c r="Q40" i="31" s="1"/>
  <c r="M40" i="31" s="1"/>
  <c r="O33" i="3" s="1"/>
  <c r="P77" i="30"/>
  <c r="J62" i="30"/>
  <c r="M22" i="30"/>
  <c r="M23" i="30"/>
  <c r="N9" i="31"/>
  <c r="P79" i="30"/>
  <c r="K79" i="30" s="1"/>
  <c r="M37" i="31"/>
  <c r="O31" i="3" s="1"/>
  <c r="K77" i="30"/>
  <c r="N10" i="31"/>
  <c r="Q22" i="30"/>
  <c r="R12" i="31" s="1"/>
  <c r="Q23" i="30"/>
  <c r="R13" i="31" s="1"/>
  <c r="R9" i="31"/>
  <c r="M21" i="5"/>
  <c r="M22" i="5"/>
  <c r="M23" i="5"/>
  <c r="M24" i="5"/>
  <c r="M18" i="5"/>
  <c r="M19" i="5"/>
  <c r="M17" i="5"/>
  <c r="M14" i="5"/>
  <c r="M15" i="5"/>
  <c r="O22" i="30" l="1"/>
  <c r="P12" i="31" s="1"/>
  <c r="P9" i="31"/>
  <c r="O23" i="30"/>
  <c r="P13" i="31" s="1"/>
  <c r="N23" i="30"/>
  <c r="O13" i="31" s="1"/>
  <c r="M7" i="31"/>
  <c r="O6" i="3" s="1"/>
  <c r="K17" i="30"/>
  <c r="M9" i="31" s="1"/>
  <c r="O8" i="3" s="1"/>
  <c r="N18" i="30"/>
  <c r="O10" i="31" s="1"/>
  <c r="K37" i="30"/>
  <c r="K36" i="30"/>
  <c r="K15" i="30"/>
  <c r="M8" i="31" s="1"/>
  <c r="O7" i="3" s="1"/>
  <c r="N22" i="30"/>
  <c r="O12" i="31" s="1"/>
  <c r="K11" i="30"/>
  <c r="K39" i="30"/>
  <c r="K38" i="30"/>
  <c r="R64" i="31"/>
  <c r="R57" i="31"/>
  <c r="R59" i="31"/>
  <c r="R60" i="31" s="1"/>
  <c r="R50" i="31"/>
  <c r="R65" i="31"/>
  <c r="R61" i="31"/>
  <c r="R53" i="31"/>
  <c r="R33" i="31"/>
  <c r="N13" i="31"/>
  <c r="K20" i="30"/>
  <c r="Q9" i="31"/>
  <c r="P23" i="30"/>
  <c r="Q13" i="31" s="1"/>
  <c r="P22" i="30"/>
  <c r="Q12" i="31" s="1"/>
  <c r="R66" i="31"/>
  <c r="R62" i="31"/>
  <c r="R34" i="31"/>
  <c r="K18" i="30"/>
  <c r="M10" i="31" s="1"/>
  <c r="O9" i="3" s="1"/>
  <c r="N12" i="31"/>
  <c r="K21" i="30" l="1"/>
  <c r="K22" i="30"/>
  <c r="M12" i="31" s="1"/>
  <c r="O11" i="3" s="1"/>
  <c r="K12" i="30"/>
  <c r="K13" i="30"/>
  <c r="Q65" i="31"/>
  <c r="Q61" i="31"/>
  <c r="Q53" i="31"/>
  <c r="Q59" i="31"/>
  <c r="Q60" i="31" s="1"/>
  <c r="Q50" i="31"/>
  <c r="Q33" i="31"/>
  <c r="Q64" i="31"/>
  <c r="Q57" i="31"/>
  <c r="K23" i="30"/>
  <c r="M13" i="31" s="1"/>
  <c r="O12" i="3" s="1"/>
  <c r="Q66" i="31"/>
  <c r="Q62" i="31"/>
  <c r="Q34" i="31"/>
  <c r="AA40" i="3" l="1"/>
  <c r="Z40" i="3"/>
  <c r="Y40" i="3"/>
  <c r="X40" i="3"/>
  <c r="W40" i="3"/>
  <c r="V40" i="3"/>
  <c r="U40" i="3"/>
  <c r="S40" i="3"/>
  <c r="G11" i="4"/>
  <c r="P40" i="3"/>
  <c r="P36" i="3"/>
  <c r="P21" i="3"/>
  <c r="P13" i="3"/>
  <c r="N40" i="3"/>
  <c r="N21" i="3"/>
  <c r="N13" i="3"/>
  <c r="Q58" i="3"/>
  <c r="Q57" i="3"/>
  <c r="Q56" i="3"/>
  <c r="Q55" i="3"/>
  <c r="Q54" i="3"/>
  <c r="Q40" i="3"/>
  <c r="Q21" i="3"/>
  <c r="Q20" i="3"/>
  <c r="Q13" i="3"/>
  <c r="M40" i="3"/>
  <c r="M36" i="3"/>
  <c r="M21" i="3"/>
  <c r="M13" i="3"/>
  <c r="L40" i="3"/>
  <c r="L21" i="3"/>
  <c r="L13" i="3"/>
  <c r="K40" i="3"/>
  <c r="K21" i="3"/>
  <c r="K13" i="3"/>
  <c r="H40" i="3"/>
  <c r="H36" i="3"/>
  <c r="H21" i="3"/>
  <c r="H13" i="3"/>
  <c r="G40" i="3"/>
  <c r="G21" i="3"/>
  <c r="G13" i="3"/>
  <c r="F40" i="3"/>
  <c r="F36" i="3"/>
  <c r="F21" i="3"/>
  <c r="F13" i="3"/>
  <c r="AA30" i="33" l="1"/>
  <c r="C20" i="33"/>
  <c r="C21" i="33" s="1"/>
  <c r="C22" i="33" s="1"/>
  <c r="C23" i="33" s="1"/>
  <c r="C24" i="33" s="1"/>
  <c r="C25" i="33" s="1"/>
  <c r="C26" i="33" s="1"/>
  <c r="C27" i="33" s="1"/>
  <c r="C28" i="33" s="1"/>
  <c r="C29" i="33" s="1"/>
  <c r="C30" i="33" s="1"/>
  <c r="C31" i="33" s="1"/>
  <c r="C32" i="33" s="1"/>
  <c r="C33" i="33" s="1"/>
  <c r="C34" i="33" s="1"/>
  <c r="C36" i="33" s="1"/>
  <c r="C37" i="33" s="1"/>
  <c r="C38" i="33" s="1"/>
  <c r="C39" i="33" s="1"/>
  <c r="C40" i="33" s="1"/>
  <c r="C41" i="33" s="1"/>
  <c r="C42" i="33" s="1"/>
  <c r="C43" i="33" s="1"/>
  <c r="C44" i="33" s="1"/>
  <c r="C45" i="33" s="1"/>
  <c r="C47" i="33" s="1"/>
  <c r="C48" i="33" s="1"/>
  <c r="C49" i="33" s="1"/>
  <c r="C50" i="33" s="1"/>
  <c r="C51" i="33" s="1"/>
  <c r="C52" i="33" s="1"/>
  <c r="C53" i="33" s="1"/>
  <c r="C55" i="33" s="1"/>
  <c r="C56" i="33" s="1"/>
  <c r="C57" i="33" s="1"/>
  <c r="C58" i="33" s="1"/>
  <c r="C59" i="33" s="1"/>
  <c r="C60" i="33" s="1"/>
  <c r="C62" i="33" s="1"/>
  <c r="C63" i="33" s="1"/>
  <c r="C64" i="33" s="1"/>
  <c r="C65" i="33" s="1"/>
  <c r="C66" i="33" s="1"/>
  <c r="C68" i="33" s="1"/>
  <c r="C69" i="33" s="1"/>
  <c r="C70" i="33" s="1"/>
  <c r="C71" i="33" s="1"/>
  <c r="C17" i="33"/>
  <c r="C19" i="33" s="1"/>
  <c r="C16" i="33"/>
  <c r="R11" i="33"/>
  <c r="R58" i="33" s="1"/>
  <c r="Q11" i="33"/>
  <c r="Q58" i="33" s="1"/>
  <c r="P11" i="33"/>
  <c r="P58" i="33" s="1"/>
  <c r="O11" i="33"/>
  <c r="O58" i="33" s="1"/>
  <c r="N11" i="33"/>
  <c r="N58" i="33" s="1"/>
  <c r="M11" i="33"/>
  <c r="M58" i="33" s="1"/>
  <c r="M6" i="33"/>
  <c r="P5" i="3" s="1"/>
  <c r="I3" i="33"/>
  <c r="F3" i="33"/>
  <c r="R2" i="33"/>
  <c r="Q78" i="32"/>
  <c r="R38" i="33" s="1"/>
  <c r="P78" i="32"/>
  <c r="Q38" i="33" s="1"/>
  <c r="O78" i="32"/>
  <c r="P38" i="33" s="1"/>
  <c r="N78" i="32"/>
  <c r="O38" i="33" s="1"/>
  <c r="M78" i="32"/>
  <c r="N38" i="33" s="1"/>
  <c r="L77" i="32"/>
  <c r="P70" i="32"/>
  <c r="L70" i="32" s="1"/>
  <c r="Q69" i="32"/>
  <c r="P69" i="32"/>
  <c r="O69" i="32"/>
  <c r="N69" i="32"/>
  <c r="N67" i="32" s="1"/>
  <c r="O23" i="33" s="1"/>
  <c r="M69" i="32"/>
  <c r="L69" i="32"/>
  <c r="Q67" i="32"/>
  <c r="R23" i="33" s="1"/>
  <c r="O67" i="32"/>
  <c r="P23" i="33" s="1"/>
  <c r="M67" i="32"/>
  <c r="N23" i="33" s="1"/>
  <c r="K66" i="32"/>
  <c r="Q64" i="32"/>
  <c r="R26" i="33" s="1"/>
  <c r="P64" i="32"/>
  <c r="Q26" i="33" s="1"/>
  <c r="O64" i="32"/>
  <c r="P26" i="33" s="1"/>
  <c r="N64" i="32"/>
  <c r="O26" i="33" s="1"/>
  <c r="M64" i="32"/>
  <c r="N26" i="33" s="1"/>
  <c r="L64" i="32"/>
  <c r="M26" i="33" s="1"/>
  <c r="X63" i="32"/>
  <c r="W63" i="32"/>
  <c r="V63" i="32"/>
  <c r="U63" i="32"/>
  <c r="T63" i="32"/>
  <c r="K63" i="32"/>
  <c r="J63" i="32"/>
  <c r="G63" i="32"/>
  <c r="U62" i="32"/>
  <c r="T62" i="32"/>
  <c r="X61" i="32"/>
  <c r="J61" i="32"/>
  <c r="AD56" i="32"/>
  <c r="AC56" i="32"/>
  <c r="AB56" i="32"/>
  <c r="AA56" i="32"/>
  <c r="Z56" i="32"/>
  <c r="X56" i="32"/>
  <c r="W56" i="32"/>
  <c r="V56" i="32"/>
  <c r="U56" i="32"/>
  <c r="T56" i="32"/>
  <c r="J56" i="32"/>
  <c r="AD55" i="32"/>
  <c r="AC55" i="32"/>
  <c r="AB55" i="32"/>
  <c r="AA55" i="32"/>
  <c r="Z55" i="32"/>
  <c r="X55" i="32"/>
  <c r="W55" i="32"/>
  <c r="V55" i="32"/>
  <c r="U55" i="32"/>
  <c r="T55" i="32"/>
  <c r="J55" i="32"/>
  <c r="AD54" i="32"/>
  <c r="AC54" i="32"/>
  <c r="AB54" i="32"/>
  <c r="AA54" i="32"/>
  <c r="Z54" i="32"/>
  <c r="X54" i="32"/>
  <c r="W54" i="32"/>
  <c r="V54" i="32"/>
  <c r="U54" i="32"/>
  <c r="T54" i="32"/>
  <c r="J54" i="32"/>
  <c r="AD53" i="32"/>
  <c r="AC53" i="32"/>
  <c r="AB53" i="32"/>
  <c r="AA53" i="32"/>
  <c r="Z53" i="32"/>
  <c r="X53" i="32"/>
  <c r="W53" i="32"/>
  <c r="V53" i="32"/>
  <c r="U53" i="32"/>
  <c r="T53" i="32"/>
  <c r="J53" i="32"/>
  <c r="AD52" i="32"/>
  <c r="AC52" i="32"/>
  <c r="AB52" i="32"/>
  <c r="AA52" i="32"/>
  <c r="Z52" i="32"/>
  <c r="X52" i="32"/>
  <c r="W52" i="32"/>
  <c r="V52" i="32"/>
  <c r="U52" i="32"/>
  <c r="T52" i="32"/>
  <c r="J52" i="32"/>
  <c r="AD51" i="32"/>
  <c r="AC51" i="32"/>
  <c r="AB51" i="32"/>
  <c r="AA51" i="32"/>
  <c r="Z51" i="32"/>
  <c r="X51" i="32"/>
  <c r="W51" i="32"/>
  <c r="V51" i="32"/>
  <c r="U51" i="32"/>
  <c r="T51" i="32"/>
  <c r="J51" i="32"/>
  <c r="AD50" i="32"/>
  <c r="X50" i="32"/>
  <c r="J50" i="32"/>
  <c r="AD49" i="32"/>
  <c r="AC49" i="32"/>
  <c r="AB49" i="32"/>
  <c r="AA49" i="32"/>
  <c r="Z49" i="32"/>
  <c r="X49" i="32"/>
  <c r="W49" i="32"/>
  <c r="V49" i="32"/>
  <c r="U49" i="32"/>
  <c r="T49" i="32"/>
  <c r="J49" i="32"/>
  <c r="AD48" i="32"/>
  <c r="X48" i="32"/>
  <c r="J48" i="32"/>
  <c r="AD47" i="32"/>
  <c r="X47" i="32"/>
  <c r="J47" i="32"/>
  <c r="AD46" i="32"/>
  <c r="X46" i="32"/>
  <c r="J46" i="32"/>
  <c r="L29" i="32"/>
  <c r="L28" i="32"/>
  <c r="J24" i="32"/>
  <c r="Q21" i="32"/>
  <c r="P21" i="32"/>
  <c r="O21" i="32"/>
  <c r="N21" i="32"/>
  <c r="M21" i="32"/>
  <c r="N16" i="32"/>
  <c r="O37" i="33" s="1"/>
  <c r="O40" i="33" s="1"/>
  <c r="M16" i="32"/>
  <c r="N37" i="33" s="1"/>
  <c r="T13" i="32"/>
  <c r="T12" i="32"/>
  <c r="Q12" i="32"/>
  <c r="P12" i="32"/>
  <c r="P16" i="32" s="1"/>
  <c r="O12" i="32"/>
  <c r="O16" i="32" s="1"/>
  <c r="N12" i="32"/>
  <c r="M12" i="32"/>
  <c r="T11" i="32"/>
  <c r="Q11" i="32"/>
  <c r="Q18" i="32" s="1"/>
  <c r="R10" i="33" s="1"/>
  <c r="R56" i="33" s="1"/>
  <c r="P11" i="32"/>
  <c r="O11" i="32"/>
  <c r="N11" i="32"/>
  <c r="M11" i="32"/>
  <c r="T10" i="32"/>
  <c r="Q10" i="32"/>
  <c r="Q15" i="32" s="1"/>
  <c r="P10" i="32"/>
  <c r="O10" i="32"/>
  <c r="N10" i="32"/>
  <c r="M10" i="32"/>
  <c r="T9" i="32"/>
  <c r="Q9" i="32"/>
  <c r="P9" i="32"/>
  <c r="O9" i="32"/>
  <c r="N9" i="32"/>
  <c r="M9" i="32"/>
  <c r="T8" i="32"/>
  <c r="Q8" i="32"/>
  <c r="P8" i="32"/>
  <c r="O8" i="32"/>
  <c r="N8" i="32"/>
  <c r="M8" i="32"/>
  <c r="T7" i="32"/>
  <c r="R7" i="32"/>
  <c r="I7" i="32" s="1"/>
  <c r="T6" i="32"/>
  <c r="Q6" i="32"/>
  <c r="R6" i="33" s="1"/>
  <c r="P6" i="32"/>
  <c r="Q6" i="33" s="1"/>
  <c r="O6" i="32"/>
  <c r="P6" i="33" s="1"/>
  <c r="N6" i="32"/>
  <c r="O6" i="33" s="1"/>
  <c r="M6" i="32"/>
  <c r="N6" i="33" s="1"/>
  <c r="T5" i="32"/>
  <c r="Q5" i="32"/>
  <c r="R5" i="33" s="1"/>
  <c r="T4" i="32"/>
  <c r="O5" i="32" s="1"/>
  <c r="P5" i="33" s="1"/>
  <c r="Q43" i="32" l="1"/>
  <c r="R24" i="33" s="1"/>
  <c r="Q57" i="32"/>
  <c r="Q58" i="32" s="1"/>
  <c r="R36" i="33" s="1"/>
  <c r="N40" i="33"/>
  <c r="N5" i="32"/>
  <c r="O5" i="33" s="1"/>
  <c r="P5" i="32"/>
  <c r="Q5" i="33" s="1"/>
  <c r="M5" i="32"/>
  <c r="N5" i="33" s="1"/>
  <c r="M13" i="32"/>
  <c r="Q13" i="32"/>
  <c r="L67" i="32"/>
  <c r="M23" i="33" s="1"/>
  <c r="P20" i="3" s="1"/>
  <c r="P67" i="32"/>
  <c r="Q23" i="33" s="1"/>
  <c r="Q62" i="32"/>
  <c r="X62" i="32" s="1"/>
  <c r="Q59" i="32" s="1"/>
  <c r="R25" i="33" s="1"/>
  <c r="R8" i="33"/>
  <c r="R29" i="33" s="1"/>
  <c r="P37" i="33"/>
  <c r="P40" i="33" s="1"/>
  <c r="O77" i="32"/>
  <c r="N43" i="33"/>
  <c r="P43" i="33"/>
  <c r="R43" i="33"/>
  <c r="Q37" i="33"/>
  <c r="Q40" i="33" s="1"/>
  <c r="P77" i="32"/>
  <c r="K9" i="32"/>
  <c r="N13" i="32"/>
  <c r="P13" i="32"/>
  <c r="M14" i="32"/>
  <c r="Q14" i="32"/>
  <c r="Q16" i="32"/>
  <c r="K16" i="32" s="1"/>
  <c r="O43" i="33"/>
  <c r="Q43" i="33"/>
  <c r="K8" i="32"/>
  <c r="O13" i="32"/>
  <c r="N14" i="32"/>
  <c r="P14" i="32"/>
  <c r="P15" i="32" s="1"/>
  <c r="M77" i="32"/>
  <c r="N79" i="32"/>
  <c r="P79" i="32"/>
  <c r="O14" i="32"/>
  <c r="O15" i="32" s="1"/>
  <c r="N77" i="32"/>
  <c r="M79" i="32"/>
  <c r="O79" i="32"/>
  <c r="Q79" i="32" l="1"/>
  <c r="W62" i="32"/>
  <c r="Q8" i="33"/>
  <c r="P8" i="33"/>
  <c r="J62" i="32"/>
  <c r="K79" i="32"/>
  <c r="P7" i="33"/>
  <c r="O17" i="32"/>
  <c r="O18" i="32" s="1"/>
  <c r="P10" i="33" s="1"/>
  <c r="Q7" i="33"/>
  <c r="P17" i="32"/>
  <c r="P18" i="32" s="1"/>
  <c r="Q10" i="33" s="1"/>
  <c r="R37" i="33"/>
  <c r="R40" i="33" s="1"/>
  <c r="M40" i="33" s="1"/>
  <c r="P33" i="3" s="1"/>
  <c r="Q77" i="32"/>
  <c r="R7" i="33"/>
  <c r="Q17" i="32"/>
  <c r="M37" i="33"/>
  <c r="P31" i="3" s="1"/>
  <c r="K77" i="32"/>
  <c r="O7" i="33"/>
  <c r="N17" i="32"/>
  <c r="N7" i="33"/>
  <c r="M17" i="32"/>
  <c r="K14" i="32"/>
  <c r="N15" i="32"/>
  <c r="O8" i="33" s="1"/>
  <c r="M15" i="32"/>
  <c r="V62" i="32" l="1"/>
  <c r="K10" i="32"/>
  <c r="W66" i="32" s="1"/>
  <c r="K11" i="32"/>
  <c r="O9" i="33"/>
  <c r="N23" i="32"/>
  <c r="O13" i="33" s="1"/>
  <c r="N22" i="32"/>
  <c r="O12" i="33" s="1"/>
  <c r="N18" i="32"/>
  <c r="O10" i="33" s="1"/>
  <c r="Q9" i="33"/>
  <c r="P23" i="32"/>
  <c r="Q13" i="33" s="1"/>
  <c r="P22" i="32"/>
  <c r="Q12" i="33" s="1"/>
  <c r="P9" i="33"/>
  <c r="O23" i="32"/>
  <c r="P13" i="33" s="1"/>
  <c r="O22" i="32"/>
  <c r="P12" i="33" s="1"/>
  <c r="N8" i="33"/>
  <c r="K15" i="32"/>
  <c r="M8" i="33" s="1"/>
  <c r="P7" i="3" s="1"/>
  <c r="M7" i="33"/>
  <c r="P6" i="3" s="1"/>
  <c r="K38" i="32"/>
  <c r="K36" i="32"/>
  <c r="K39" i="32"/>
  <c r="K37" i="32"/>
  <c r="N9" i="33"/>
  <c r="M23" i="32"/>
  <c r="M22" i="32"/>
  <c r="K17" i="32"/>
  <c r="M9" i="33" s="1"/>
  <c r="P8" i="3" s="1"/>
  <c r="M18" i="32"/>
  <c r="R9" i="33"/>
  <c r="Q23" i="32"/>
  <c r="R13" i="33" s="1"/>
  <c r="Q22" i="32"/>
  <c r="R12" i="33" s="1"/>
  <c r="K21" i="32" l="1"/>
  <c r="K13" i="32"/>
  <c r="K12" i="32"/>
  <c r="K20" i="32"/>
  <c r="R59" i="33"/>
  <c r="R60" i="33" s="1"/>
  <c r="R50" i="33"/>
  <c r="R65" i="33"/>
  <c r="R61" i="33"/>
  <c r="R53" i="33"/>
  <c r="R33" i="33"/>
  <c r="R64" i="33"/>
  <c r="R57" i="33"/>
  <c r="N10" i="33"/>
  <c r="K18" i="32"/>
  <c r="M10" i="33" s="1"/>
  <c r="P9" i="3" s="1"/>
  <c r="N12" i="33"/>
  <c r="K22" i="32"/>
  <c r="M12" i="33" s="1"/>
  <c r="P11" i="3" s="1"/>
  <c r="R66" i="33"/>
  <c r="R62" i="33"/>
  <c r="R34" i="33"/>
  <c r="N13" i="33"/>
  <c r="K23" i="32"/>
  <c r="M13" i="33" s="1"/>
  <c r="P12" i="3" s="1"/>
  <c r="I61" i="38" l="1"/>
  <c r="O42" i="39"/>
  <c r="AA36" i="3" s="1"/>
  <c r="N42" i="39"/>
  <c r="Z36" i="3" s="1"/>
  <c r="M42" i="39"/>
  <c r="Y36" i="3" s="1"/>
  <c r="Z31" i="39"/>
  <c r="C15" i="39"/>
  <c r="C16" i="39" s="1"/>
  <c r="C17" i="39" s="1"/>
  <c r="C19" i="39" s="1"/>
  <c r="C20" i="39" s="1"/>
  <c r="C21" i="39" s="1"/>
  <c r="C22" i="39" s="1"/>
  <c r="C23" i="39" s="1"/>
  <c r="C24" i="39" s="1"/>
  <c r="C25" i="39" s="1"/>
  <c r="C26" i="39" s="1"/>
  <c r="C27" i="39" s="1"/>
  <c r="C28" i="39" s="1"/>
  <c r="C30" i="39" s="1"/>
  <c r="C31" i="39" s="1"/>
  <c r="C32" i="39" s="1"/>
  <c r="C33" i="39" s="1"/>
  <c r="C34" i="39" s="1"/>
  <c r="C36" i="39" s="1"/>
  <c r="C37" i="39" s="1"/>
  <c r="C38" i="39" s="1"/>
  <c r="C39" i="39" s="1"/>
  <c r="C40" i="39" s="1"/>
  <c r="C41" i="39" s="1"/>
  <c r="C42" i="39" s="1"/>
  <c r="C43" i="39" s="1"/>
  <c r="C44" i="39" s="1"/>
  <c r="C46" i="39" s="1"/>
  <c r="C47" i="39" s="1"/>
  <c r="C48" i="39" s="1"/>
  <c r="C49" i="39" s="1"/>
  <c r="C50" i="39" s="1"/>
  <c r="C52" i="39" s="1"/>
  <c r="C53" i="39" s="1"/>
  <c r="C54" i="39" s="1"/>
  <c r="C55" i="39" s="1"/>
  <c r="C56" i="39" s="1"/>
  <c r="C57" i="39" s="1"/>
  <c r="C58" i="39" s="1"/>
  <c r="C59" i="39" s="1"/>
  <c r="C60" i="39" s="1"/>
  <c r="C61" i="39" s="1"/>
  <c r="C62" i="39" s="1"/>
  <c r="C63" i="39" s="1"/>
  <c r="C65" i="39" s="1"/>
  <c r="C66" i="39" s="1"/>
  <c r="C67" i="39" s="1"/>
  <c r="C68" i="39" s="1"/>
  <c r="O6" i="39"/>
  <c r="AA5" i="3" s="1"/>
  <c r="N6" i="39"/>
  <c r="Z5" i="3" s="1"/>
  <c r="M6" i="39"/>
  <c r="Y5" i="3" s="1"/>
  <c r="G3" i="39"/>
  <c r="F3" i="39"/>
  <c r="O2" i="39"/>
  <c r="P68" i="38"/>
  <c r="N68" i="38"/>
  <c r="N67" i="38" s="1"/>
  <c r="N23" i="39" s="1"/>
  <c r="L68" i="38"/>
  <c r="P67" i="38"/>
  <c r="O23" i="39" s="1"/>
  <c r="L67" i="38"/>
  <c r="M23" i="39" s="1"/>
  <c r="Y20" i="3" s="1"/>
  <c r="P65" i="38"/>
  <c r="O22" i="39" s="1"/>
  <c r="N65" i="38"/>
  <c r="N22" i="39" s="1"/>
  <c r="L65" i="38"/>
  <c r="M22" i="39" s="1"/>
  <c r="V63" i="38"/>
  <c r="P63" i="38"/>
  <c r="O26" i="39" s="1"/>
  <c r="AA21" i="3" s="1"/>
  <c r="N63" i="38"/>
  <c r="N26" i="39" s="1"/>
  <c r="Z21" i="3" s="1"/>
  <c r="L63" i="38"/>
  <c r="M26" i="39" s="1"/>
  <c r="Y21" i="3" s="1"/>
  <c r="O62" i="38"/>
  <c r="M62" i="38"/>
  <c r="K62" i="38"/>
  <c r="H62" i="38"/>
  <c r="P41" i="38"/>
  <c r="N41" i="38"/>
  <c r="N37" i="38" s="1"/>
  <c r="N21" i="39" s="1"/>
  <c r="Z17" i="3" s="1"/>
  <c r="L41" i="38"/>
  <c r="P37" i="38"/>
  <c r="O21" i="39" s="1"/>
  <c r="AA17" i="3" s="1"/>
  <c r="L37" i="38"/>
  <c r="M21" i="39" s="1"/>
  <c r="Y17" i="3" s="1"/>
  <c r="P26" i="38"/>
  <c r="N26" i="38"/>
  <c r="L26" i="38"/>
  <c r="D25" i="38"/>
  <c r="P23" i="38"/>
  <c r="N23" i="38"/>
  <c r="L23" i="38"/>
  <c r="D23" i="38"/>
  <c r="P22" i="38"/>
  <c r="N22" i="38"/>
  <c r="L22" i="38"/>
  <c r="H22" i="38"/>
  <c r="D22" i="38"/>
  <c r="P21" i="38"/>
  <c r="N21" i="38"/>
  <c r="L21" i="38"/>
  <c r="D21" i="38"/>
  <c r="P20" i="38"/>
  <c r="N20" i="38"/>
  <c r="L20" i="38"/>
  <c r="D20" i="38"/>
  <c r="O17" i="38"/>
  <c r="M17" i="38"/>
  <c r="J17" i="38"/>
  <c r="O14" i="38"/>
  <c r="M14" i="38"/>
  <c r="K14" i="38"/>
  <c r="O9" i="38"/>
  <c r="M9" i="38"/>
  <c r="K9" i="38"/>
  <c r="O42" i="35"/>
  <c r="U36" i="3" s="1"/>
  <c r="N42" i="35"/>
  <c r="T36" i="3" s="1"/>
  <c r="M42" i="35"/>
  <c r="S36" i="3" s="1"/>
  <c r="Z31" i="35"/>
  <c r="C15" i="35"/>
  <c r="C16" i="35" s="1"/>
  <c r="C17" i="35" s="1"/>
  <c r="C19" i="35" s="1"/>
  <c r="C20" i="35" s="1"/>
  <c r="C21" i="35" s="1"/>
  <c r="C22" i="35" s="1"/>
  <c r="C23" i="35" s="1"/>
  <c r="C24" i="35" s="1"/>
  <c r="C25" i="35" s="1"/>
  <c r="C26" i="35" s="1"/>
  <c r="C27" i="35" s="1"/>
  <c r="C28" i="35" s="1"/>
  <c r="C30" i="35" s="1"/>
  <c r="C31" i="35" s="1"/>
  <c r="C32" i="35" s="1"/>
  <c r="C33" i="35" s="1"/>
  <c r="C34" i="35" s="1"/>
  <c r="C36" i="35" s="1"/>
  <c r="C37" i="35" s="1"/>
  <c r="C38" i="35" s="1"/>
  <c r="C39" i="35" s="1"/>
  <c r="C40" i="35" s="1"/>
  <c r="C41" i="35" s="1"/>
  <c r="C42" i="35" s="1"/>
  <c r="C43" i="35" s="1"/>
  <c r="C44" i="35" s="1"/>
  <c r="C46" i="35" s="1"/>
  <c r="C47" i="35" s="1"/>
  <c r="C48" i="35" s="1"/>
  <c r="C49" i="35" s="1"/>
  <c r="C50" i="35" s="1"/>
  <c r="C52" i="35" s="1"/>
  <c r="C53" i="35" s="1"/>
  <c r="C54" i="35" s="1"/>
  <c r="C55" i="35" s="1"/>
  <c r="C56" i="35" s="1"/>
  <c r="C57" i="35" s="1"/>
  <c r="C58" i="35" s="1"/>
  <c r="C59" i="35" s="1"/>
  <c r="C60" i="35" s="1"/>
  <c r="C61" i="35" s="1"/>
  <c r="C62" i="35" s="1"/>
  <c r="C63" i="35" s="1"/>
  <c r="C65" i="35" s="1"/>
  <c r="C66" i="35" s="1"/>
  <c r="C67" i="35" s="1"/>
  <c r="C68" i="35" s="1"/>
  <c r="O6" i="35"/>
  <c r="U5" i="3" s="1"/>
  <c r="N6" i="35"/>
  <c r="T5" i="3" s="1"/>
  <c r="M6" i="35"/>
  <c r="S5" i="3" s="1"/>
  <c r="F3" i="35"/>
  <c r="O2" i="35"/>
  <c r="P68" i="34"/>
  <c r="P67" i="34" s="1"/>
  <c r="O23" i="35" s="1"/>
  <c r="N68" i="34"/>
  <c r="N67" i="34" s="1"/>
  <c r="N23" i="35" s="1"/>
  <c r="L68" i="34"/>
  <c r="L67" i="34"/>
  <c r="M23" i="35" s="1"/>
  <c r="P65" i="34"/>
  <c r="O22" i="35" s="1"/>
  <c r="N65" i="34"/>
  <c r="N22" i="35" s="1"/>
  <c r="L65" i="34"/>
  <c r="M22" i="35" s="1"/>
  <c r="V63" i="34"/>
  <c r="P63" i="34"/>
  <c r="O26" i="35" s="1"/>
  <c r="U21" i="3" s="1"/>
  <c r="N63" i="34"/>
  <c r="N26" i="35" s="1"/>
  <c r="T21" i="3" s="1"/>
  <c r="L63" i="34"/>
  <c r="M26" i="35" s="1"/>
  <c r="S21" i="3" s="1"/>
  <c r="O62" i="34"/>
  <c r="M62" i="34"/>
  <c r="K62" i="34"/>
  <c r="H62" i="34"/>
  <c r="P41" i="34"/>
  <c r="N41" i="34"/>
  <c r="N37" i="34" s="1"/>
  <c r="N21" i="35" s="1"/>
  <c r="T17" i="3" s="1"/>
  <c r="L41" i="34"/>
  <c r="P37" i="34"/>
  <c r="O21" i="35" s="1"/>
  <c r="U17" i="3" s="1"/>
  <c r="L37" i="34"/>
  <c r="M21" i="35" s="1"/>
  <c r="S17" i="3" s="1"/>
  <c r="P26" i="34"/>
  <c r="N26" i="34"/>
  <c r="L26" i="34"/>
  <c r="D25" i="34"/>
  <c r="P23" i="34"/>
  <c r="N23" i="34"/>
  <c r="L23" i="34"/>
  <c r="D23" i="34"/>
  <c r="P22" i="34"/>
  <c r="N22" i="34"/>
  <c r="L22" i="34"/>
  <c r="H22" i="34"/>
  <c r="D22" i="34"/>
  <c r="P21" i="34"/>
  <c r="N21" i="34"/>
  <c r="L21" i="34"/>
  <c r="D21" i="34"/>
  <c r="P20" i="34"/>
  <c r="N20" i="34"/>
  <c r="L20" i="34"/>
  <c r="D20" i="34"/>
  <c r="O17" i="34"/>
  <c r="M17" i="34"/>
  <c r="J17" i="34"/>
  <c r="O14" i="34"/>
  <c r="M14" i="34"/>
  <c r="K14" i="34"/>
  <c r="O9" i="34"/>
  <c r="O35" i="34" s="1"/>
  <c r="M9" i="34"/>
  <c r="N7" i="35" s="1"/>
  <c r="T6" i="3" s="1"/>
  <c r="K9" i="34"/>
  <c r="K35" i="34" s="1"/>
  <c r="O55" i="36"/>
  <c r="M55" i="36"/>
  <c r="K55" i="36"/>
  <c r="O35" i="36"/>
  <c r="O34" i="36"/>
  <c r="O42" i="37"/>
  <c r="X36" i="3" s="1"/>
  <c r="N42" i="37"/>
  <c r="W36" i="3" s="1"/>
  <c r="M42" i="37"/>
  <c r="V36" i="3" s="1"/>
  <c r="Z31" i="37"/>
  <c r="C15" i="37"/>
  <c r="C16" i="37" s="1"/>
  <c r="C17" i="37" s="1"/>
  <c r="C19" i="37" s="1"/>
  <c r="C20" i="37" s="1"/>
  <c r="C21" i="37" s="1"/>
  <c r="C22" i="37" s="1"/>
  <c r="C23" i="37" s="1"/>
  <c r="C24" i="37" s="1"/>
  <c r="C25" i="37" s="1"/>
  <c r="C26" i="37" s="1"/>
  <c r="C27" i="37" s="1"/>
  <c r="C28" i="37" s="1"/>
  <c r="C30" i="37" s="1"/>
  <c r="C31" i="37" s="1"/>
  <c r="C32" i="37" s="1"/>
  <c r="C33" i="37" s="1"/>
  <c r="C34" i="37" s="1"/>
  <c r="C36" i="37" s="1"/>
  <c r="C37" i="37" s="1"/>
  <c r="C38" i="37" s="1"/>
  <c r="C39" i="37" s="1"/>
  <c r="C40" i="37" s="1"/>
  <c r="C41" i="37" s="1"/>
  <c r="C42" i="37" s="1"/>
  <c r="C43" i="37" s="1"/>
  <c r="C44" i="37" s="1"/>
  <c r="C46" i="37" s="1"/>
  <c r="C47" i="37" s="1"/>
  <c r="C48" i="37" s="1"/>
  <c r="C49" i="37" s="1"/>
  <c r="C50" i="37" s="1"/>
  <c r="C52" i="37" s="1"/>
  <c r="C53" i="37" s="1"/>
  <c r="C54" i="37" s="1"/>
  <c r="C55" i="37" s="1"/>
  <c r="C56" i="37" s="1"/>
  <c r="C57" i="37" s="1"/>
  <c r="C58" i="37" s="1"/>
  <c r="C59" i="37" s="1"/>
  <c r="C60" i="37" s="1"/>
  <c r="C61" i="37" s="1"/>
  <c r="C62" i="37" s="1"/>
  <c r="C63" i="37" s="1"/>
  <c r="C65" i="37" s="1"/>
  <c r="C66" i="37" s="1"/>
  <c r="C67" i="37" s="1"/>
  <c r="C68" i="37" s="1"/>
  <c r="O6" i="37"/>
  <c r="X5" i="3" s="1"/>
  <c r="N6" i="37"/>
  <c r="W5" i="3" s="1"/>
  <c r="M6" i="37"/>
  <c r="V5" i="3" s="1"/>
  <c r="G3" i="37"/>
  <c r="F3" i="37"/>
  <c r="O2" i="37"/>
  <c r="P68" i="36"/>
  <c r="N68" i="36"/>
  <c r="N67" i="36" s="1"/>
  <c r="N23" i="37" s="1"/>
  <c r="L68" i="36"/>
  <c r="P67" i="36"/>
  <c r="O23" i="37" s="1"/>
  <c r="L67" i="36"/>
  <c r="M23" i="37" s="1"/>
  <c r="V63" i="36"/>
  <c r="P63" i="36"/>
  <c r="O26" i="37" s="1"/>
  <c r="X21" i="3" s="1"/>
  <c r="N63" i="36"/>
  <c r="N26" i="37" s="1"/>
  <c r="W21" i="3" s="1"/>
  <c r="L63" i="36"/>
  <c r="M26" i="37" s="1"/>
  <c r="V21" i="3" s="1"/>
  <c r="O62" i="36"/>
  <c r="M62" i="36"/>
  <c r="K62" i="36"/>
  <c r="H62" i="36"/>
  <c r="P41" i="36"/>
  <c r="N41" i="36"/>
  <c r="N37" i="36" s="1"/>
  <c r="N21" i="37" s="1"/>
  <c r="W17" i="3" s="1"/>
  <c r="L41" i="36"/>
  <c r="P37" i="36"/>
  <c r="O21" i="37" s="1"/>
  <c r="X17" i="3" s="1"/>
  <c r="L37" i="36"/>
  <c r="M21" i="37" s="1"/>
  <c r="V17" i="3" s="1"/>
  <c r="P26" i="36"/>
  <c r="N26" i="36"/>
  <c r="L26" i="36"/>
  <c r="D25" i="36"/>
  <c r="P23" i="36"/>
  <c r="N23" i="36"/>
  <c r="L23" i="36"/>
  <c r="D23" i="36"/>
  <c r="P22" i="36"/>
  <c r="N22" i="36"/>
  <c r="L22" i="36"/>
  <c r="H22" i="36"/>
  <c r="D22" i="36"/>
  <c r="P21" i="36"/>
  <c r="N21" i="36"/>
  <c r="L21" i="36"/>
  <c r="D21" i="36"/>
  <c r="P20" i="36"/>
  <c r="N20" i="36"/>
  <c r="L20" i="36"/>
  <c r="D20" i="36"/>
  <c r="O17" i="36"/>
  <c r="M17" i="36"/>
  <c r="J17" i="36"/>
  <c r="O14" i="36"/>
  <c r="M14" i="36"/>
  <c r="K14" i="36"/>
  <c r="O9" i="36"/>
  <c r="P9" i="36" s="1"/>
  <c r="O8" i="37" s="1"/>
  <c r="X7" i="3" s="1"/>
  <c r="M9" i="36"/>
  <c r="M11" i="36" s="1"/>
  <c r="N9" i="37" s="1"/>
  <c r="W8" i="3" s="1"/>
  <c r="K9" i="36"/>
  <c r="L9" i="36" s="1"/>
  <c r="M8" i="37" s="1"/>
  <c r="V7" i="3" s="1"/>
  <c r="O42" i="51"/>
  <c r="N42" i="51"/>
  <c r="M42" i="51"/>
  <c r="Z31" i="51"/>
  <c r="C15" i="51"/>
  <c r="C16" i="51" s="1"/>
  <c r="C17" i="51" s="1"/>
  <c r="C19" i="51" s="1"/>
  <c r="C20" i="51" s="1"/>
  <c r="C21" i="51" s="1"/>
  <c r="C22" i="51" s="1"/>
  <c r="C23" i="51" s="1"/>
  <c r="C24" i="51" s="1"/>
  <c r="C25" i="51" s="1"/>
  <c r="C26" i="51" s="1"/>
  <c r="C27" i="51" s="1"/>
  <c r="C28" i="51" s="1"/>
  <c r="C30" i="51" s="1"/>
  <c r="C31" i="51" s="1"/>
  <c r="C32" i="51" s="1"/>
  <c r="C33" i="51" s="1"/>
  <c r="C34" i="51" s="1"/>
  <c r="C36" i="51" s="1"/>
  <c r="C37" i="51" s="1"/>
  <c r="C38" i="51" s="1"/>
  <c r="C39" i="51" s="1"/>
  <c r="C40" i="51" s="1"/>
  <c r="C41" i="51" s="1"/>
  <c r="C42" i="51" s="1"/>
  <c r="C43" i="51" s="1"/>
  <c r="C44" i="51" s="1"/>
  <c r="C46" i="51" s="1"/>
  <c r="C47" i="51" s="1"/>
  <c r="C48" i="51" s="1"/>
  <c r="C49" i="51" s="1"/>
  <c r="C50" i="51" s="1"/>
  <c r="C52" i="51" s="1"/>
  <c r="C53" i="51" s="1"/>
  <c r="C54" i="51" s="1"/>
  <c r="C55" i="51" s="1"/>
  <c r="C56" i="51" s="1"/>
  <c r="C57" i="51" s="1"/>
  <c r="C58" i="51" s="1"/>
  <c r="C59" i="51" s="1"/>
  <c r="C60" i="51" s="1"/>
  <c r="C61" i="51" s="1"/>
  <c r="C62" i="51" s="1"/>
  <c r="C63" i="51" s="1"/>
  <c r="C65" i="51" s="1"/>
  <c r="C66" i="51" s="1"/>
  <c r="C67" i="51" s="1"/>
  <c r="C68" i="51" s="1"/>
  <c r="O6" i="51"/>
  <c r="N6" i="51"/>
  <c r="M6" i="51"/>
  <c r="G3" i="51"/>
  <c r="F3" i="51"/>
  <c r="O2" i="51"/>
  <c r="P68" i="50"/>
  <c r="P67" i="50" s="1"/>
  <c r="O23" i="51" s="1"/>
  <c r="N68" i="50"/>
  <c r="N67" i="50" s="1"/>
  <c r="N23" i="51" s="1"/>
  <c r="L68" i="50"/>
  <c r="L67" i="50"/>
  <c r="M23" i="51" s="1"/>
  <c r="V63" i="50"/>
  <c r="P63" i="50"/>
  <c r="O26" i="51" s="1"/>
  <c r="N63" i="50"/>
  <c r="N26" i="51" s="1"/>
  <c r="L63" i="50"/>
  <c r="M26" i="51" s="1"/>
  <c r="O62" i="50"/>
  <c r="M62" i="50"/>
  <c r="K62" i="50"/>
  <c r="H62" i="50"/>
  <c r="I55" i="50"/>
  <c r="I54" i="50"/>
  <c r="I53" i="50"/>
  <c r="I52" i="50"/>
  <c r="I51" i="50"/>
  <c r="I50" i="50"/>
  <c r="I49" i="50"/>
  <c r="I48" i="50"/>
  <c r="I47" i="50"/>
  <c r="I46" i="50"/>
  <c r="I45" i="50"/>
  <c r="P41" i="50"/>
  <c r="N41" i="50"/>
  <c r="N37" i="50" s="1"/>
  <c r="N21" i="51" s="1"/>
  <c r="L41" i="50"/>
  <c r="P37" i="50"/>
  <c r="O21" i="51" s="1"/>
  <c r="L37" i="50"/>
  <c r="M21" i="51" s="1"/>
  <c r="P30" i="50"/>
  <c r="N30" i="50"/>
  <c r="L30" i="50"/>
  <c r="P26" i="50"/>
  <c r="N26" i="50"/>
  <c r="L26" i="50"/>
  <c r="D25" i="50"/>
  <c r="P23" i="50"/>
  <c r="N23" i="50"/>
  <c r="L23" i="50"/>
  <c r="D23" i="50"/>
  <c r="P22" i="50"/>
  <c r="N22" i="50"/>
  <c r="L22" i="50"/>
  <c r="H22" i="50"/>
  <c r="D22" i="50"/>
  <c r="P21" i="50"/>
  <c r="N21" i="50"/>
  <c r="L21" i="50"/>
  <c r="D21" i="50"/>
  <c r="P20" i="50"/>
  <c r="N20" i="50"/>
  <c r="L20" i="50"/>
  <c r="D20" i="50"/>
  <c r="O17" i="50"/>
  <c r="M17" i="50"/>
  <c r="J17" i="50"/>
  <c r="O14" i="50"/>
  <c r="M14" i="50"/>
  <c r="K14" i="50"/>
  <c r="O9" i="50"/>
  <c r="O35" i="50" s="1"/>
  <c r="M9" i="50"/>
  <c r="N7" i="51" s="1"/>
  <c r="K9" i="50"/>
  <c r="K35" i="50" s="1"/>
  <c r="A42" i="9"/>
  <c r="M69" i="28"/>
  <c r="S20" i="3" l="1"/>
  <c r="T20" i="3"/>
  <c r="U20" i="3"/>
  <c r="AA20" i="3"/>
  <c r="Z20" i="3"/>
  <c r="O56" i="50"/>
  <c r="O57" i="50" s="1"/>
  <c r="O36" i="51" s="1"/>
  <c r="N7" i="39"/>
  <c r="Z6" i="3" s="1"/>
  <c r="M35" i="38"/>
  <c r="M36" i="38"/>
  <c r="M34" i="38"/>
  <c r="M11" i="38"/>
  <c r="N9" i="38"/>
  <c r="K35" i="38"/>
  <c r="M7" i="39"/>
  <c r="Y6" i="3" s="1"/>
  <c r="K36" i="38"/>
  <c r="K34" i="38"/>
  <c r="K11" i="38"/>
  <c r="L9" i="38"/>
  <c r="O35" i="38"/>
  <c r="O7" i="39"/>
  <c r="AA6" i="3" s="1"/>
  <c r="O36" i="38"/>
  <c r="O34" i="38"/>
  <c r="O11" i="38"/>
  <c r="P9" i="38"/>
  <c r="L9" i="34"/>
  <c r="N9" i="34"/>
  <c r="P9" i="34"/>
  <c r="K11" i="34"/>
  <c r="M11" i="34"/>
  <c r="O11" i="34"/>
  <c r="K34" i="34"/>
  <c r="M34" i="34"/>
  <c r="O34" i="34"/>
  <c r="K36" i="34"/>
  <c r="M36" i="34"/>
  <c r="O36" i="34"/>
  <c r="M7" i="35"/>
  <c r="S6" i="3" s="1"/>
  <c r="O7" i="35"/>
  <c r="U6" i="3" s="1"/>
  <c r="M35" i="34"/>
  <c r="O11" i="36"/>
  <c r="O9" i="37" s="1"/>
  <c r="X8" i="3" s="1"/>
  <c r="N9" i="36"/>
  <c r="N8" i="37" s="1"/>
  <c r="W7" i="3" s="1"/>
  <c r="K11" i="36"/>
  <c r="M9" i="37" s="1"/>
  <c r="V8" i="3" s="1"/>
  <c r="K35" i="36"/>
  <c r="M7" i="37"/>
  <c r="V6" i="3" s="1"/>
  <c r="K36" i="36"/>
  <c r="K34" i="36"/>
  <c r="M36" i="36"/>
  <c r="M34" i="36"/>
  <c r="N7" i="37"/>
  <c r="W6" i="3" s="1"/>
  <c r="O7" i="37"/>
  <c r="X6" i="3" s="1"/>
  <c r="O36" i="36"/>
  <c r="L10" i="36"/>
  <c r="M37" i="37" s="1"/>
  <c r="V31" i="3" s="1"/>
  <c r="P10" i="36"/>
  <c r="O37" i="37" s="1"/>
  <c r="X31" i="3" s="1"/>
  <c r="L11" i="36"/>
  <c r="N11" i="36"/>
  <c r="M15" i="36"/>
  <c r="K16" i="36"/>
  <c r="M13" i="37" s="1"/>
  <c r="V12" i="3" s="1"/>
  <c r="O16" i="36"/>
  <c r="O13" i="37" s="1"/>
  <c r="X12" i="3" s="1"/>
  <c r="M35" i="36"/>
  <c r="O15" i="36"/>
  <c r="M16" i="36"/>
  <c r="N13" i="37" s="1"/>
  <c r="W12" i="3" s="1"/>
  <c r="L9" i="50"/>
  <c r="N9" i="50"/>
  <c r="P9" i="50"/>
  <c r="K11" i="50"/>
  <c r="M11" i="50"/>
  <c r="O11" i="50"/>
  <c r="K34" i="50"/>
  <c r="M34" i="50"/>
  <c r="O34" i="50"/>
  <c r="K36" i="50"/>
  <c r="M36" i="50"/>
  <c r="O36" i="50"/>
  <c r="M56" i="50"/>
  <c r="M57" i="50" s="1"/>
  <c r="N36" i="51" s="1"/>
  <c r="M7" i="51"/>
  <c r="O7" i="51"/>
  <c r="K33" i="50"/>
  <c r="M33" i="50"/>
  <c r="O33" i="50"/>
  <c r="M35" i="50"/>
  <c r="K56" i="50"/>
  <c r="K57" i="50" s="1"/>
  <c r="M36" i="51" s="1"/>
  <c r="Q69" i="28"/>
  <c r="P69" i="28"/>
  <c r="O69" i="28"/>
  <c r="N69" i="28"/>
  <c r="M43" i="29"/>
  <c r="N36" i="3" s="1"/>
  <c r="AA30" i="29"/>
  <c r="N26" i="29"/>
  <c r="C19" i="29"/>
  <c r="C20" i="29" s="1"/>
  <c r="C21" i="29" s="1"/>
  <c r="C22" i="29" s="1"/>
  <c r="C23" i="29" s="1"/>
  <c r="C24" i="29" s="1"/>
  <c r="C25" i="29" s="1"/>
  <c r="C26" i="29" s="1"/>
  <c r="C27" i="29" s="1"/>
  <c r="C28" i="29" s="1"/>
  <c r="C29" i="29" s="1"/>
  <c r="C30" i="29" s="1"/>
  <c r="C31" i="29" s="1"/>
  <c r="C32" i="29" s="1"/>
  <c r="C33" i="29" s="1"/>
  <c r="C34" i="29" s="1"/>
  <c r="C36" i="29" s="1"/>
  <c r="C37" i="29" s="1"/>
  <c r="C38" i="29" s="1"/>
  <c r="C39" i="29" s="1"/>
  <c r="C40" i="29" s="1"/>
  <c r="C41" i="29" s="1"/>
  <c r="C42" i="29" s="1"/>
  <c r="C43" i="29" s="1"/>
  <c r="C44" i="29" s="1"/>
  <c r="C45" i="29" s="1"/>
  <c r="C47" i="29" s="1"/>
  <c r="C48" i="29" s="1"/>
  <c r="C49" i="29" s="1"/>
  <c r="C50" i="29" s="1"/>
  <c r="C51" i="29" s="1"/>
  <c r="C52" i="29" s="1"/>
  <c r="C53" i="29" s="1"/>
  <c r="C55" i="29" s="1"/>
  <c r="C56" i="29" s="1"/>
  <c r="C57" i="29" s="1"/>
  <c r="C58" i="29" s="1"/>
  <c r="C59" i="29" s="1"/>
  <c r="C60" i="29" s="1"/>
  <c r="C62" i="29" s="1"/>
  <c r="C63" i="29" s="1"/>
  <c r="C64" i="29" s="1"/>
  <c r="C65" i="29" s="1"/>
  <c r="C66" i="29" s="1"/>
  <c r="C68" i="29" s="1"/>
  <c r="C69" i="29" s="1"/>
  <c r="C70" i="29" s="1"/>
  <c r="C71" i="29" s="1"/>
  <c r="C16" i="29"/>
  <c r="C17" i="29" s="1"/>
  <c r="R11" i="29"/>
  <c r="R58" i="29" s="1"/>
  <c r="Q11" i="29"/>
  <c r="Q58" i="29" s="1"/>
  <c r="P11" i="29"/>
  <c r="P58" i="29" s="1"/>
  <c r="O11" i="29"/>
  <c r="O58" i="29" s="1"/>
  <c r="N11" i="29"/>
  <c r="N58" i="29" s="1"/>
  <c r="M11" i="29"/>
  <c r="M58" i="29" s="1"/>
  <c r="M6" i="29"/>
  <c r="N5" i="3" s="1"/>
  <c r="I3" i="29"/>
  <c r="F3" i="29"/>
  <c r="R2" i="29"/>
  <c r="Q78" i="28"/>
  <c r="R38" i="29" s="1"/>
  <c r="P78" i="28"/>
  <c r="Q38" i="29" s="1"/>
  <c r="O78" i="28"/>
  <c r="P38" i="29" s="1"/>
  <c r="N78" i="28"/>
  <c r="O38" i="29" s="1"/>
  <c r="M78" i="28"/>
  <c r="N38" i="29" s="1"/>
  <c r="L77" i="28"/>
  <c r="P70" i="28"/>
  <c r="L70" i="28"/>
  <c r="Q67" i="28"/>
  <c r="R23" i="29" s="1"/>
  <c r="O67" i="28"/>
  <c r="P23" i="29" s="1"/>
  <c r="N67" i="28"/>
  <c r="O23" i="29" s="1"/>
  <c r="M67" i="28"/>
  <c r="N23" i="29" s="1"/>
  <c r="K66" i="28"/>
  <c r="Q64" i="28"/>
  <c r="R26" i="29" s="1"/>
  <c r="P64" i="28"/>
  <c r="Q26" i="29" s="1"/>
  <c r="O64" i="28"/>
  <c r="P26" i="29" s="1"/>
  <c r="N64" i="28"/>
  <c r="O26" i="29" s="1"/>
  <c r="M64" i="28"/>
  <c r="L64" i="28"/>
  <c r="M26" i="29" s="1"/>
  <c r="X63" i="28"/>
  <c r="W63" i="28"/>
  <c r="V63" i="28"/>
  <c r="U63" i="28"/>
  <c r="T63" i="28"/>
  <c r="K63" i="28"/>
  <c r="J63" i="28"/>
  <c r="G63" i="28"/>
  <c r="X61" i="28"/>
  <c r="W61" i="28"/>
  <c r="V61" i="28"/>
  <c r="U61" i="28"/>
  <c r="T61" i="28"/>
  <c r="J61" i="28"/>
  <c r="AD56" i="28"/>
  <c r="AC56" i="28"/>
  <c r="AB56" i="28"/>
  <c r="AA56" i="28"/>
  <c r="Z56" i="28"/>
  <c r="X56" i="28"/>
  <c r="W56" i="28"/>
  <c r="V56" i="28"/>
  <c r="U56" i="28"/>
  <c r="T56" i="28"/>
  <c r="J56" i="28"/>
  <c r="AD55" i="28"/>
  <c r="AC55" i="28"/>
  <c r="AB55" i="28"/>
  <c r="AA55" i="28"/>
  <c r="Z55" i="28"/>
  <c r="X55" i="28"/>
  <c r="W55" i="28"/>
  <c r="V55" i="28"/>
  <c r="U55" i="28"/>
  <c r="T55" i="28"/>
  <c r="J55" i="28"/>
  <c r="AD54" i="28"/>
  <c r="AC54" i="28"/>
  <c r="AB54" i="28"/>
  <c r="AA54" i="28"/>
  <c r="Z54" i="28"/>
  <c r="X54" i="28"/>
  <c r="W54" i="28"/>
  <c r="V54" i="28"/>
  <c r="U54" i="28"/>
  <c r="T54" i="28"/>
  <c r="J54" i="28"/>
  <c r="AD52" i="28"/>
  <c r="AC52" i="28"/>
  <c r="AB52" i="28"/>
  <c r="X52" i="28"/>
  <c r="W52" i="28"/>
  <c r="V52" i="28"/>
  <c r="J52" i="28"/>
  <c r="AD51" i="28"/>
  <c r="AC51" i="28"/>
  <c r="AB51" i="28"/>
  <c r="X51" i="28"/>
  <c r="W51" i="28"/>
  <c r="V51" i="28"/>
  <c r="J51" i="28"/>
  <c r="AD50" i="28"/>
  <c r="AC50" i="28"/>
  <c r="AB50" i="28"/>
  <c r="X50" i="28"/>
  <c r="W50" i="28"/>
  <c r="V50" i="28"/>
  <c r="J50" i="28"/>
  <c r="AD49" i="28"/>
  <c r="AC49" i="28"/>
  <c r="AB49" i="28"/>
  <c r="AA49" i="28"/>
  <c r="Z49" i="28"/>
  <c r="X49" i="28"/>
  <c r="W49" i="28"/>
  <c r="V49" i="28"/>
  <c r="U49" i="28"/>
  <c r="T49" i="28"/>
  <c r="J49" i="28"/>
  <c r="AD48" i="28"/>
  <c r="AC48" i="28"/>
  <c r="AB48" i="28"/>
  <c r="X48" i="28"/>
  <c r="W48" i="28"/>
  <c r="V48" i="28"/>
  <c r="J48" i="28"/>
  <c r="AD47" i="28"/>
  <c r="AC47" i="28"/>
  <c r="AB47" i="28"/>
  <c r="X47" i="28"/>
  <c r="W47" i="28"/>
  <c r="V47" i="28"/>
  <c r="T47" i="28"/>
  <c r="J47" i="28"/>
  <c r="AD46" i="28"/>
  <c r="AC46" i="28"/>
  <c r="AB46" i="28"/>
  <c r="AA46" i="28"/>
  <c r="X46" i="28"/>
  <c r="W46" i="28"/>
  <c r="V46" i="28"/>
  <c r="T46" i="28"/>
  <c r="J46" i="28"/>
  <c r="L29" i="28"/>
  <c r="L28" i="28"/>
  <c r="J24" i="28"/>
  <c r="Q21" i="28"/>
  <c r="P21" i="28"/>
  <c r="O21" i="28"/>
  <c r="N21" i="28"/>
  <c r="M21" i="28"/>
  <c r="T13" i="28"/>
  <c r="P5" i="28" s="1"/>
  <c r="Q5" i="29" s="1"/>
  <c r="T12" i="28"/>
  <c r="Q12" i="28"/>
  <c r="P12" i="28"/>
  <c r="P16" i="28" s="1"/>
  <c r="O12" i="28"/>
  <c r="N12" i="28"/>
  <c r="M12" i="28"/>
  <c r="T11" i="28"/>
  <c r="Q11" i="28"/>
  <c r="Q18" i="28" s="1"/>
  <c r="R10" i="29" s="1"/>
  <c r="R56" i="29" s="1"/>
  <c r="P11" i="28"/>
  <c r="P18" i="28" s="1"/>
  <c r="Q10" i="29" s="1"/>
  <c r="Q56" i="29" s="1"/>
  <c r="O11" i="28"/>
  <c r="N11" i="28"/>
  <c r="M11" i="28"/>
  <c r="T10" i="28"/>
  <c r="Q10" i="28"/>
  <c r="Q15" i="28" s="1"/>
  <c r="P10" i="28"/>
  <c r="P15" i="28" s="1"/>
  <c r="O10" i="28"/>
  <c r="N10" i="28"/>
  <c r="M10" i="28"/>
  <c r="T9" i="28"/>
  <c r="Q9" i="28"/>
  <c r="P9" i="28"/>
  <c r="O9" i="28"/>
  <c r="N9" i="28"/>
  <c r="M9" i="28"/>
  <c r="T8" i="28"/>
  <c r="Q8" i="28"/>
  <c r="P8" i="28"/>
  <c r="O8" i="28"/>
  <c r="N8" i="28"/>
  <c r="M8" i="28"/>
  <c r="T7" i="28"/>
  <c r="R7" i="28"/>
  <c r="I7" i="28" s="1"/>
  <c r="T6" i="28"/>
  <c r="Q6" i="28"/>
  <c r="R6" i="29" s="1"/>
  <c r="P6" i="28"/>
  <c r="Q6" i="29" s="1"/>
  <c r="O6" i="28"/>
  <c r="P6" i="29" s="1"/>
  <c r="N6" i="28"/>
  <c r="O6" i="29" s="1"/>
  <c r="M6" i="28"/>
  <c r="N6" i="29" s="1"/>
  <c r="T5" i="28"/>
  <c r="N5" i="28" s="1"/>
  <c r="O5" i="29" s="1"/>
  <c r="Q5" i="28"/>
  <c r="R5" i="29" s="1"/>
  <c r="O5" i="28"/>
  <c r="P5" i="29" s="1"/>
  <c r="M5" i="28"/>
  <c r="N5" i="29" s="1"/>
  <c r="T4" i="28"/>
  <c r="AA30" i="27"/>
  <c r="C20" i="27"/>
  <c r="C21" i="27" s="1"/>
  <c r="C22" i="27" s="1"/>
  <c r="C23" i="27" s="1"/>
  <c r="C24" i="27" s="1"/>
  <c r="C25" i="27" s="1"/>
  <c r="C26" i="27" s="1"/>
  <c r="C27" i="27" s="1"/>
  <c r="C28" i="27" s="1"/>
  <c r="C29" i="27" s="1"/>
  <c r="C30" i="27" s="1"/>
  <c r="C31" i="27" s="1"/>
  <c r="C32" i="27" s="1"/>
  <c r="C33" i="27" s="1"/>
  <c r="C34" i="27" s="1"/>
  <c r="C36" i="27" s="1"/>
  <c r="C37" i="27" s="1"/>
  <c r="C38" i="27" s="1"/>
  <c r="C39" i="27" s="1"/>
  <c r="C40" i="27" s="1"/>
  <c r="C41" i="27" s="1"/>
  <c r="C42" i="27" s="1"/>
  <c r="C43" i="27" s="1"/>
  <c r="C44" i="27" s="1"/>
  <c r="C45" i="27" s="1"/>
  <c r="C47" i="27" s="1"/>
  <c r="C48" i="27" s="1"/>
  <c r="C49" i="27" s="1"/>
  <c r="C50" i="27" s="1"/>
  <c r="C51" i="27" s="1"/>
  <c r="C52" i="27" s="1"/>
  <c r="C53" i="27" s="1"/>
  <c r="C55" i="27" s="1"/>
  <c r="C56" i="27" s="1"/>
  <c r="C57" i="27" s="1"/>
  <c r="C58" i="27" s="1"/>
  <c r="C59" i="27" s="1"/>
  <c r="C60" i="27" s="1"/>
  <c r="C62" i="27" s="1"/>
  <c r="C63" i="27" s="1"/>
  <c r="C64" i="27" s="1"/>
  <c r="C65" i="27" s="1"/>
  <c r="C66" i="27" s="1"/>
  <c r="C68" i="27" s="1"/>
  <c r="C69" i="27" s="1"/>
  <c r="C70" i="27" s="1"/>
  <c r="C71" i="27" s="1"/>
  <c r="C17" i="27"/>
  <c r="C19" i="27" s="1"/>
  <c r="C16" i="27"/>
  <c r="R11" i="27"/>
  <c r="R58" i="27" s="1"/>
  <c r="Q11" i="27"/>
  <c r="Q58" i="27" s="1"/>
  <c r="P11" i="27"/>
  <c r="P58" i="27" s="1"/>
  <c r="O11" i="27"/>
  <c r="O58" i="27" s="1"/>
  <c r="N11" i="27"/>
  <c r="N58" i="27" s="1"/>
  <c r="M11" i="27"/>
  <c r="M58" i="27" s="1"/>
  <c r="M6" i="27"/>
  <c r="M5" i="3" s="1"/>
  <c r="I3" i="27"/>
  <c r="F3" i="27"/>
  <c r="R2" i="27"/>
  <c r="Q78" i="26"/>
  <c r="R38" i="27" s="1"/>
  <c r="L77" i="26"/>
  <c r="P70" i="26"/>
  <c r="L70" i="26" s="1"/>
  <c r="K66" i="26"/>
  <c r="Q64" i="26"/>
  <c r="R26" i="27" s="1"/>
  <c r="P64" i="26"/>
  <c r="Q26" i="27" s="1"/>
  <c r="O64" i="26"/>
  <c r="P26" i="27" s="1"/>
  <c r="N64" i="26"/>
  <c r="O26" i="27" s="1"/>
  <c r="M64" i="26"/>
  <c r="N26" i="27" s="1"/>
  <c r="L64" i="26"/>
  <c r="M26" i="27" s="1"/>
  <c r="X63" i="26"/>
  <c r="W63" i="26"/>
  <c r="V63" i="26"/>
  <c r="U63" i="26"/>
  <c r="T63" i="26"/>
  <c r="K63" i="26"/>
  <c r="J63" i="26"/>
  <c r="G63" i="26"/>
  <c r="X61" i="26"/>
  <c r="J61" i="26"/>
  <c r="AD56" i="26"/>
  <c r="AC56" i="26"/>
  <c r="AB56" i="26"/>
  <c r="AA56" i="26"/>
  <c r="Z56" i="26"/>
  <c r="X56" i="26"/>
  <c r="W56" i="26"/>
  <c r="V56" i="26"/>
  <c r="U56" i="26"/>
  <c r="T56" i="26"/>
  <c r="J56" i="26"/>
  <c r="AD55" i="26"/>
  <c r="AC55" i="26"/>
  <c r="AB55" i="26"/>
  <c r="AA55" i="26"/>
  <c r="Z55" i="26"/>
  <c r="X55" i="26"/>
  <c r="W55" i="26"/>
  <c r="V55" i="26"/>
  <c r="U55" i="26"/>
  <c r="T55" i="26"/>
  <c r="J55" i="26"/>
  <c r="AD54" i="26"/>
  <c r="AC54" i="26"/>
  <c r="AB54" i="26"/>
  <c r="AA54" i="26"/>
  <c r="Z54" i="26"/>
  <c r="X54" i="26"/>
  <c r="W54" i="26"/>
  <c r="V54" i="26"/>
  <c r="U54" i="26"/>
  <c r="T54" i="26"/>
  <c r="J54" i="26"/>
  <c r="AD52" i="26"/>
  <c r="X52" i="26"/>
  <c r="J52" i="26"/>
  <c r="AD51" i="26"/>
  <c r="X51" i="26"/>
  <c r="J51" i="26"/>
  <c r="AD50" i="26"/>
  <c r="X50" i="26"/>
  <c r="J50" i="26"/>
  <c r="AD49" i="26"/>
  <c r="AC49" i="26"/>
  <c r="AB49" i="26"/>
  <c r="AA49" i="26"/>
  <c r="Z49" i="26"/>
  <c r="X49" i="26"/>
  <c r="W49" i="26"/>
  <c r="V49" i="26"/>
  <c r="U49" i="26"/>
  <c r="T49" i="26"/>
  <c r="J49" i="26"/>
  <c r="AD48" i="26"/>
  <c r="AC48" i="26"/>
  <c r="AB48" i="26"/>
  <c r="AA48" i="26"/>
  <c r="Z48" i="26"/>
  <c r="X48" i="26"/>
  <c r="W48" i="26"/>
  <c r="V48" i="26"/>
  <c r="U48" i="26"/>
  <c r="T48" i="26"/>
  <c r="J48" i="26"/>
  <c r="AD47" i="26"/>
  <c r="X47" i="26"/>
  <c r="J47" i="26"/>
  <c r="AD46" i="26"/>
  <c r="X46" i="26"/>
  <c r="J46" i="26"/>
  <c r="L29" i="26"/>
  <c r="L28" i="26"/>
  <c r="J24" i="26"/>
  <c r="Q21" i="26"/>
  <c r="P21" i="26"/>
  <c r="O21" i="26"/>
  <c r="N21" i="26"/>
  <c r="M21" i="26"/>
  <c r="T13" i="26"/>
  <c r="T12" i="26"/>
  <c r="Q12" i="26"/>
  <c r="Q16" i="26" s="1"/>
  <c r="P12" i="26"/>
  <c r="O12" i="26"/>
  <c r="N12" i="26"/>
  <c r="M12" i="26"/>
  <c r="T11" i="26"/>
  <c r="Q11" i="26"/>
  <c r="Q18" i="26" s="1"/>
  <c r="R10" i="27" s="1"/>
  <c r="R56" i="27" s="1"/>
  <c r="P11" i="26"/>
  <c r="P13" i="26" s="1"/>
  <c r="O11" i="26"/>
  <c r="N11" i="26"/>
  <c r="N13" i="26" s="1"/>
  <c r="M11" i="26"/>
  <c r="T10" i="26"/>
  <c r="M5" i="26" s="1"/>
  <c r="N5" i="27" s="1"/>
  <c r="Q10" i="26"/>
  <c r="Q15" i="26" s="1"/>
  <c r="P10" i="26"/>
  <c r="O10" i="26"/>
  <c r="N10" i="26"/>
  <c r="M10" i="26"/>
  <c r="T9" i="26"/>
  <c r="Q9" i="26"/>
  <c r="P9" i="26"/>
  <c r="O9" i="26"/>
  <c r="N9" i="26"/>
  <c r="M9" i="26"/>
  <c r="T8" i="26"/>
  <c r="O5" i="26" s="1"/>
  <c r="P5" i="27" s="1"/>
  <c r="Q8" i="26"/>
  <c r="P8" i="26"/>
  <c r="O8" i="26"/>
  <c r="N8" i="26"/>
  <c r="M8" i="26"/>
  <c r="T7" i="26"/>
  <c r="R7" i="26"/>
  <c r="I7" i="26"/>
  <c r="T6" i="26"/>
  <c r="Q6" i="26"/>
  <c r="P6" i="26"/>
  <c r="Q6" i="27" s="1"/>
  <c r="O6" i="26"/>
  <c r="P6" i="27" s="1"/>
  <c r="N6" i="26"/>
  <c r="O6" i="27" s="1"/>
  <c r="M6" i="26"/>
  <c r="T5" i="26"/>
  <c r="Q5" i="26"/>
  <c r="R5" i="27" s="1"/>
  <c r="N5" i="26"/>
  <c r="O5" i="27" s="1"/>
  <c r="T4" i="26"/>
  <c r="M43" i="25"/>
  <c r="L36" i="3" s="1"/>
  <c r="AA30" i="25"/>
  <c r="C17" i="25"/>
  <c r="C19" i="25" s="1"/>
  <c r="C20" i="25" s="1"/>
  <c r="C21" i="25" s="1"/>
  <c r="C22" i="25" s="1"/>
  <c r="C23" i="25" s="1"/>
  <c r="C24" i="25" s="1"/>
  <c r="C25" i="25" s="1"/>
  <c r="C26" i="25" s="1"/>
  <c r="C27" i="25" s="1"/>
  <c r="C28" i="25" s="1"/>
  <c r="C29" i="25" s="1"/>
  <c r="C30" i="25" s="1"/>
  <c r="C31" i="25" s="1"/>
  <c r="C32" i="25" s="1"/>
  <c r="C33" i="25" s="1"/>
  <c r="C34" i="25" s="1"/>
  <c r="C36" i="25" s="1"/>
  <c r="C37" i="25" s="1"/>
  <c r="C38" i="25" s="1"/>
  <c r="C39" i="25" s="1"/>
  <c r="C40" i="25" s="1"/>
  <c r="C41" i="25" s="1"/>
  <c r="C42" i="25" s="1"/>
  <c r="C43" i="25" s="1"/>
  <c r="C44" i="25" s="1"/>
  <c r="C45" i="25" s="1"/>
  <c r="C47" i="25" s="1"/>
  <c r="C48" i="25" s="1"/>
  <c r="C49" i="25" s="1"/>
  <c r="C50" i="25" s="1"/>
  <c r="C51" i="25" s="1"/>
  <c r="C52" i="25" s="1"/>
  <c r="C53" i="25" s="1"/>
  <c r="C55" i="25" s="1"/>
  <c r="C56" i="25" s="1"/>
  <c r="C57" i="25" s="1"/>
  <c r="C58" i="25" s="1"/>
  <c r="C59" i="25" s="1"/>
  <c r="C60" i="25" s="1"/>
  <c r="C62" i="25" s="1"/>
  <c r="C63" i="25" s="1"/>
  <c r="C64" i="25" s="1"/>
  <c r="C65" i="25" s="1"/>
  <c r="C66" i="25" s="1"/>
  <c r="C68" i="25" s="1"/>
  <c r="C69" i="25" s="1"/>
  <c r="C70" i="25" s="1"/>
  <c r="C71" i="25" s="1"/>
  <c r="C16" i="25"/>
  <c r="R11" i="25"/>
  <c r="R58" i="25" s="1"/>
  <c r="Q11" i="25"/>
  <c r="Q58" i="25" s="1"/>
  <c r="P11" i="25"/>
  <c r="P58" i="25" s="1"/>
  <c r="O11" i="25"/>
  <c r="O58" i="25" s="1"/>
  <c r="N11" i="25"/>
  <c r="N58" i="25" s="1"/>
  <c r="M11" i="25"/>
  <c r="M58" i="25" s="1"/>
  <c r="M6" i="25"/>
  <c r="L5" i="3" s="1"/>
  <c r="I3" i="25"/>
  <c r="F3" i="25"/>
  <c r="R2" i="25"/>
  <c r="Q78" i="24"/>
  <c r="R38" i="25" s="1"/>
  <c r="P78" i="24"/>
  <c r="Q38" i="25" s="1"/>
  <c r="L77" i="24"/>
  <c r="P70" i="24"/>
  <c r="L70" i="24" s="1"/>
  <c r="L67" i="24" s="1"/>
  <c r="M23" i="25" s="1"/>
  <c r="L69" i="24"/>
  <c r="Q67" i="24"/>
  <c r="R23" i="25" s="1"/>
  <c r="P67" i="24"/>
  <c r="Q23" i="25" s="1"/>
  <c r="O67" i="24"/>
  <c r="P23" i="25" s="1"/>
  <c r="N67" i="24"/>
  <c r="O23" i="25" s="1"/>
  <c r="M67" i="24"/>
  <c r="N23" i="25" s="1"/>
  <c r="K66" i="24"/>
  <c r="Q64" i="24"/>
  <c r="R26" i="25" s="1"/>
  <c r="P64" i="24"/>
  <c r="Q26" i="25" s="1"/>
  <c r="O64" i="24"/>
  <c r="P26" i="25" s="1"/>
  <c r="N64" i="24"/>
  <c r="O26" i="25" s="1"/>
  <c r="M64" i="24"/>
  <c r="N26" i="25" s="1"/>
  <c r="L64" i="24"/>
  <c r="M26" i="25" s="1"/>
  <c r="X63" i="24"/>
  <c r="W63" i="24"/>
  <c r="V63" i="24"/>
  <c r="U63" i="24"/>
  <c r="T63" i="24"/>
  <c r="K63" i="24"/>
  <c r="J63" i="24"/>
  <c r="G63" i="24"/>
  <c r="X61" i="24"/>
  <c r="W61" i="24"/>
  <c r="V61" i="24"/>
  <c r="U61" i="24"/>
  <c r="T61" i="24"/>
  <c r="J61" i="24"/>
  <c r="AD56" i="24"/>
  <c r="AC56" i="24"/>
  <c r="AB56" i="24"/>
  <c r="AA56" i="24"/>
  <c r="Z56" i="24"/>
  <c r="X56" i="24"/>
  <c r="W56" i="24"/>
  <c r="V56" i="24"/>
  <c r="U56" i="24"/>
  <c r="T56" i="24"/>
  <c r="J56" i="24"/>
  <c r="AD55" i="24"/>
  <c r="AC55" i="24"/>
  <c r="AB55" i="24"/>
  <c r="AA55" i="24"/>
  <c r="Z55" i="24"/>
  <c r="X55" i="24"/>
  <c r="W55" i="24"/>
  <c r="V55" i="24"/>
  <c r="U55" i="24"/>
  <c r="T55" i="24"/>
  <c r="J55" i="24"/>
  <c r="AD54" i="24"/>
  <c r="AC54" i="24"/>
  <c r="AB54" i="24"/>
  <c r="AA54" i="24"/>
  <c r="Z54" i="24"/>
  <c r="X54" i="24"/>
  <c r="W54" i="24"/>
  <c r="V54" i="24"/>
  <c r="U54" i="24"/>
  <c r="T54" i="24"/>
  <c r="J54" i="24"/>
  <c r="AD52" i="24"/>
  <c r="AC52" i="24"/>
  <c r="X52" i="24"/>
  <c r="W52" i="24"/>
  <c r="J52" i="24"/>
  <c r="AD51" i="24"/>
  <c r="AC51" i="24"/>
  <c r="X51" i="24"/>
  <c r="W51" i="24"/>
  <c r="J51" i="24"/>
  <c r="AD50" i="24"/>
  <c r="AC50" i="24"/>
  <c r="X50" i="24"/>
  <c r="W50" i="24"/>
  <c r="J50" i="24"/>
  <c r="AD49" i="24"/>
  <c r="AC49" i="24"/>
  <c r="AB49" i="24"/>
  <c r="AA49" i="24"/>
  <c r="Z49" i="24"/>
  <c r="X49" i="24"/>
  <c r="W49" i="24"/>
  <c r="V49" i="24"/>
  <c r="U49" i="24"/>
  <c r="T49" i="24"/>
  <c r="J49" i="24"/>
  <c r="AD48" i="24"/>
  <c r="AC48" i="24"/>
  <c r="AB48" i="24"/>
  <c r="AA48" i="24"/>
  <c r="Z48" i="24"/>
  <c r="X48" i="24"/>
  <c r="W48" i="24"/>
  <c r="V48" i="24"/>
  <c r="U48" i="24"/>
  <c r="T48" i="24"/>
  <c r="J48" i="24"/>
  <c r="AD47" i="24"/>
  <c r="AC47" i="24"/>
  <c r="X47" i="24"/>
  <c r="W47" i="24"/>
  <c r="J47" i="24"/>
  <c r="AD46" i="24"/>
  <c r="AC46" i="24"/>
  <c r="X46" i="24"/>
  <c r="W46" i="24"/>
  <c r="J46" i="24"/>
  <c r="L29" i="24"/>
  <c r="L28" i="24"/>
  <c r="J24" i="24"/>
  <c r="Q21" i="24"/>
  <c r="P21" i="24"/>
  <c r="O21" i="24"/>
  <c r="N21" i="24"/>
  <c r="M21" i="24"/>
  <c r="T13" i="24"/>
  <c r="T12" i="24"/>
  <c r="Q12" i="24"/>
  <c r="Q16" i="24" s="1"/>
  <c r="P12" i="24"/>
  <c r="P16" i="24" s="1"/>
  <c r="O12" i="24"/>
  <c r="N12" i="24"/>
  <c r="M12" i="24"/>
  <c r="T11" i="24"/>
  <c r="Q11" i="24"/>
  <c r="Q13" i="24" s="1"/>
  <c r="P11" i="24"/>
  <c r="P18" i="24" s="1"/>
  <c r="Q10" i="25" s="1"/>
  <c r="Q56" i="25" s="1"/>
  <c r="O11" i="24"/>
  <c r="O13" i="24" s="1"/>
  <c r="N11" i="24"/>
  <c r="M11" i="24"/>
  <c r="M13" i="24" s="1"/>
  <c r="T10" i="24"/>
  <c r="Q10" i="24"/>
  <c r="Q15" i="24" s="1"/>
  <c r="P10" i="24"/>
  <c r="P15" i="24" s="1"/>
  <c r="O10" i="24"/>
  <c r="N10" i="24"/>
  <c r="M10" i="24"/>
  <c r="T9" i="24"/>
  <c r="Q9" i="24"/>
  <c r="P9" i="24"/>
  <c r="O9" i="24"/>
  <c r="N9" i="24"/>
  <c r="M9" i="24"/>
  <c r="T8" i="24"/>
  <c r="M5" i="24" s="1"/>
  <c r="N5" i="25" s="1"/>
  <c r="Q8" i="24"/>
  <c r="P8" i="24"/>
  <c r="O8" i="24"/>
  <c r="N8" i="24"/>
  <c r="M8" i="24"/>
  <c r="T7" i="24"/>
  <c r="R7" i="24"/>
  <c r="I7" i="24" s="1"/>
  <c r="T6" i="24"/>
  <c r="Q6" i="24"/>
  <c r="R6" i="25" s="1"/>
  <c r="P6" i="24"/>
  <c r="P14" i="24" s="1"/>
  <c r="O6" i="24"/>
  <c r="P6" i="25" s="1"/>
  <c r="N6" i="24"/>
  <c r="N14" i="24" s="1"/>
  <c r="M6" i="24"/>
  <c r="N6" i="25" s="1"/>
  <c r="T5" i="24"/>
  <c r="Q5" i="24"/>
  <c r="R5" i="25" s="1"/>
  <c r="P5" i="24"/>
  <c r="Q5" i="25" s="1"/>
  <c r="O5" i="24"/>
  <c r="P5" i="25" s="1"/>
  <c r="N5" i="24"/>
  <c r="O5" i="25" s="1"/>
  <c r="T4" i="24"/>
  <c r="M43" i="23"/>
  <c r="K36" i="3" s="1"/>
  <c r="AA30" i="23"/>
  <c r="C17" i="23"/>
  <c r="C19" i="23" s="1"/>
  <c r="C20" i="23" s="1"/>
  <c r="C21" i="23" s="1"/>
  <c r="C22" i="23" s="1"/>
  <c r="C23" i="23" s="1"/>
  <c r="C24" i="23" s="1"/>
  <c r="C25" i="23" s="1"/>
  <c r="C26" i="23" s="1"/>
  <c r="C27" i="23" s="1"/>
  <c r="C28" i="23" s="1"/>
  <c r="C29" i="23" s="1"/>
  <c r="C30" i="23" s="1"/>
  <c r="C31" i="23" s="1"/>
  <c r="C32" i="23" s="1"/>
  <c r="C33" i="23" s="1"/>
  <c r="C34" i="23" s="1"/>
  <c r="C36" i="23" s="1"/>
  <c r="C37" i="23" s="1"/>
  <c r="C38" i="23" s="1"/>
  <c r="C39" i="23" s="1"/>
  <c r="C40" i="23" s="1"/>
  <c r="C41" i="23" s="1"/>
  <c r="C42" i="23" s="1"/>
  <c r="C43" i="23" s="1"/>
  <c r="C44" i="23" s="1"/>
  <c r="C45" i="23" s="1"/>
  <c r="C47" i="23" s="1"/>
  <c r="C48" i="23" s="1"/>
  <c r="C49" i="23" s="1"/>
  <c r="C50" i="23" s="1"/>
  <c r="C51" i="23" s="1"/>
  <c r="C52" i="23" s="1"/>
  <c r="C53" i="23" s="1"/>
  <c r="C55" i="23" s="1"/>
  <c r="C56" i="23" s="1"/>
  <c r="C57" i="23" s="1"/>
  <c r="C58" i="23" s="1"/>
  <c r="C59" i="23" s="1"/>
  <c r="C60" i="23" s="1"/>
  <c r="C62" i="23" s="1"/>
  <c r="C63" i="23" s="1"/>
  <c r="C64" i="23" s="1"/>
  <c r="C65" i="23" s="1"/>
  <c r="C66" i="23" s="1"/>
  <c r="C68" i="23" s="1"/>
  <c r="C69" i="23" s="1"/>
  <c r="C70" i="23" s="1"/>
  <c r="C71" i="23" s="1"/>
  <c r="C16" i="23"/>
  <c r="R11" i="23"/>
  <c r="R58" i="23" s="1"/>
  <c r="Q11" i="23"/>
  <c r="Q58" i="23" s="1"/>
  <c r="P11" i="23"/>
  <c r="P58" i="23" s="1"/>
  <c r="O11" i="23"/>
  <c r="O58" i="23" s="1"/>
  <c r="N11" i="23"/>
  <c r="N58" i="23" s="1"/>
  <c r="M11" i="23"/>
  <c r="M58" i="23" s="1"/>
  <c r="M6" i="23"/>
  <c r="K5" i="3" s="1"/>
  <c r="I3" i="23"/>
  <c r="F3" i="23"/>
  <c r="R2" i="23"/>
  <c r="Q78" i="22"/>
  <c r="R38" i="23" s="1"/>
  <c r="P78" i="22"/>
  <c r="Q38" i="23" s="1"/>
  <c r="O78" i="22"/>
  <c r="P38" i="23" s="1"/>
  <c r="L77" i="22"/>
  <c r="P70" i="22"/>
  <c r="L70" i="22"/>
  <c r="L67" i="22" s="1"/>
  <c r="M23" i="23" s="1"/>
  <c r="L69" i="22"/>
  <c r="Q67" i="22"/>
  <c r="R23" i="23" s="1"/>
  <c r="P67" i="22"/>
  <c r="Q23" i="23" s="1"/>
  <c r="O67" i="22"/>
  <c r="P23" i="23" s="1"/>
  <c r="N67" i="22"/>
  <c r="O23" i="23" s="1"/>
  <c r="M67" i="22"/>
  <c r="N23" i="23" s="1"/>
  <c r="K66" i="22"/>
  <c r="Q64" i="22"/>
  <c r="R26" i="23" s="1"/>
  <c r="P64" i="22"/>
  <c r="Q26" i="23" s="1"/>
  <c r="O64" i="22"/>
  <c r="P26" i="23" s="1"/>
  <c r="N64" i="22"/>
  <c r="O26" i="23" s="1"/>
  <c r="M64" i="22"/>
  <c r="N26" i="23" s="1"/>
  <c r="L64" i="22"/>
  <c r="M26" i="23" s="1"/>
  <c r="X63" i="22"/>
  <c r="W63" i="22"/>
  <c r="V63" i="22"/>
  <c r="U63" i="22"/>
  <c r="T63" i="22"/>
  <c r="K63" i="22"/>
  <c r="J63" i="22"/>
  <c r="G63" i="22"/>
  <c r="X61" i="22"/>
  <c r="W61" i="22"/>
  <c r="V61" i="22"/>
  <c r="U61" i="22"/>
  <c r="T61" i="22"/>
  <c r="J61" i="22"/>
  <c r="AD56" i="22"/>
  <c r="AC56" i="22"/>
  <c r="AB56" i="22"/>
  <c r="AA56" i="22"/>
  <c r="Z56" i="22"/>
  <c r="X56" i="22"/>
  <c r="W56" i="22"/>
  <c r="V56" i="22"/>
  <c r="U56" i="22"/>
  <c r="T56" i="22"/>
  <c r="J56" i="22"/>
  <c r="AD55" i="22"/>
  <c r="AC55" i="22"/>
  <c r="AB55" i="22"/>
  <c r="AA55" i="22"/>
  <c r="Z55" i="22"/>
  <c r="X55" i="22"/>
  <c r="W55" i="22"/>
  <c r="V55" i="22"/>
  <c r="U55" i="22"/>
  <c r="T55" i="22"/>
  <c r="J55" i="22"/>
  <c r="AD54" i="22"/>
  <c r="AC54" i="22"/>
  <c r="AB54" i="22"/>
  <c r="AA54" i="22"/>
  <c r="Z54" i="22"/>
  <c r="X54" i="22"/>
  <c r="W54" i="22"/>
  <c r="V54" i="22"/>
  <c r="U54" i="22"/>
  <c r="T54" i="22"/>
  <c r="J54" i="22"/>
  <c r="AD52" i="22"/>
  <c r="AC52" i="22"/>
  <c r="AB52" i="22"/>
  <c r="X52" i="22"/>
  <c r="W52" i="22"/>
  <c r="V52" i="22"/>
  <c r="J52" i="22"/>
  <c r="AD51" i="22"/>
  <c r="AC51" i="22"/>
  <c r="AB51" i="22"/>
  <c r="X51" i="22"/>
  <c r="W51" i="22"/>
  <c r="V51" i="22"/>
  <c r="J51" i="22"/>
  <c r="AD49" i="22"/>
  <c r="AC49" i="22"/>
  <c r="AB49" i="22"/>
  <c r="AA49" i="22"/>
  <c r="Z49" i="22"/>
  <c r="X49" i="22"/>
  <c r="W49" i="22"/>
  <c r="V49" i="22"/>
  <c r="U49" i="22"/>
  <c r="T49" i="22"/>
  <c r="J49" i="22"/>
  <c r="AD48" i="22"/>
  <c r="AC48" i="22"/>
  <c r="AB48" i="22"/>
  <c r="AA48" i="22"/>
  <c r="Z48" i="22"/>
  <c r="X48" i="22"/>
  <c r="W48" i="22"/>
  <c r="V48" i="22"/>
  <c r="U48" i="22"/>
  <c r="T48" i="22"/>
  <c r="J48" i="22"/>
  <c r="AD47" i="22"/>
  <c r="AC47" i="22"/>
  <c r="AB47" i="22"/>
  <c r="X47" i="22"/>
  <c r="W47" i="22"/>
  <c r="J47" i="22"/>
  <c r="AD46" i="22"/>
  <c r="AC46" i="22"/>
  <c r="AB46" i="22"/>
  <c r="X46" i="22"/>
  <c r="W46" i="22"/>
  <c r="J46" i="22"/>
  <c r="L29" i="22"/>
  <c r="L28" i="22"/>
  <c r="J24" i="22"/>
  <c r="Q21" i="22"/>
  <c r="P21" i="22"/>
  <c r="O21" i="22"/>
  <c r="N21" i="22"/>
  <c r="M21" i="22"/>
  <c r="T13" i="22"/>
  <c r="T12" i="22"/>
  <c r="Q12" i="22"/>
  <c r="Q16" i="22" s="1"/>
  <c r="P12" i="22"/>
  <c r="P16" i="22" s="1"/>
  <c r="O12" i="22"/>
  <c r="N12" i="22"/>
  <c r="M12" i="22"/>
  <c r="T11" i="22"/>
  <c r="O5" i="22" s="1"/>
  <c r="P5" i="23" s="1"/>
  <c r="Q11" i="22"/>
  <c r="Q13" i="22" s="1"/>
  <c r="P11" i="22"/>
  <c r="P18" i="22" s="1"/>
  <c r="Q10" i="23" s="1"/>
  <c r="Q56" i="23" s="1"/>
  <c r="O11" i="22"/>
  <c r="O13" i="22" s="1"/>
  <c r="N11" i="22"/>
  <c r="M11" i="22"/>
  <c r="M13" i="22" s="1"/>
  <c r="T10" i="22"/>
  <c r="Q10" i="22"/>
  <c r="Q15" i="22" s="1"/>
  <c r="Q62" i="22" s="1"/>
  <c r="X62" i="22" s="1"/>
  <c r="Q59" i="22" s="1"/>
  <c r="R25" i="23" s="1"/>
  <c r="P10" i="22"/>
  <c r="P15" i="22" s="1"/>
  <c r="P53" i="22" s="1"/>
  <c r="O10" i="22"/>
  <c r="N10" i="22"/>
  <c r="M10" i="22"/>
  <c r="T9" i="22"/>
  <c r="Q9" i="22"/>
  <c r="P9" i="22"/>
  <c r="O9" i="22"/>
  <c r="N9" i="22"/>
  <c r="M9" i="22"/>
  <c r="T8" i="22"/>
  <c r="M5" i="22" s="1"/>
  <c r="N5" i="23" s="1"/>
  <c r="Q8" i="22"/>
  <c r="P8" i="22"/>
  <c r="O8" i="22"/>
  <c r="N8" i="22"/>
  <c r="M8" i="22"/>
  <c r="T7" i="22"/>
  <c r="R7" i="22"/>
  <c r="I7" i="22" s="1"/>
  <c r="T6" i="22"/>
  <c r="Q6" i="22"/>
  <c r="R6" i="23" s="1"/>
  <c r="P6" i="22"/>
  <c r="Q6" i="23" s="1"/>
  <c r="O6" i="22"/>
  <c r="P6" i="23" s="1"/>
  <c r="N6" i="22"/>
  <c r="O6" i="23" s="1"/>
  <c r="M6" i="22"/>
  <c r="N6" i="23" s="1"/>
  <c r="T5" i="22"/>
  <c r="Q5" i="22"/>
  <c r="R5" i="23" s="1"/>
  <c r="P5" i="22"/>
  <c r="Q5" i="23" s="1"/>
  <c r="N5" i="22"/>
  <c r="O5" i="23" s="1"/>
  <c r="T4" i="22"/>
  <c r="AA30" i="21"/>
  <c r="C17" i="21"/>
  <c r="C19" i="21" s="1"/>
  <c r="C20" i="21" s="1"/>
  <c r="C21" i="21" s="1"/>
  <c r="C22" i="21" s="1"/>
  <c r="C23" i="21" s="1"/>
  <c r="C24" i="21" s="1"/>
  <c r="C25" i="21" s="1"/>
  <c r="C26" i="21" s="1"/>
  <c r="C27" i="21" s="1"/>
  <c r="C28" i="21" s="1"/>
  <c r="C29" i="21" s="1"/>
  <c r="C30" i="21" s="1"/>
  <c r="C31" i="21" s="1"/>
  <c r="C32" i="21" s="1"/>
  <c r="C33" i="21" s="1"/>
  <c r="C34" i="21" s="1"/>
  <c r="C36" i="21" s="1"/>
  <c r="C37" i="21" s="1"/>
  <c r="C38" i="21" s="1"/>
  <c r="C39" i="21" s="1"/>
  <c r="C40" i="21" s="1"/>
  <c r="C41" i="21" s="1"/>
  <c r="C42" i="21" s="1"/>
  <c r="C43" i="21" s="1"/>
  <c r="C44" i="21" s="1"/>
  <c r="C45" i="21" s="1"/>
  <c r="C47" i="21" s="1"/>
  <c r="C48" i="21" s="1"/>
  <c r="C49" i="21" s="1"/>
  <c r="C50" i="21" s="1"/>
  <c r="C51" i="21" s="1"/>
  <c r="C52" i="21" s="1"/>
  <c r="C53" i="21" s="1"/>
  <c r="C55" i="21" s="1"/>
  <c r="C56" i="21" s="1"/>
  <c r="C57" i="21" s="1"/>
  <c r="C58" i="21" s="1"/>
  <c r="C59" i="21" s="1"/>
  <c r="C60" i="21" s="1"/>
  <c r="C62" i="21" s="1"/>
  <c r="C63" i="21" s="1"/>
  <c r="C64" i="21" s="1"/>
  <c r="C65" i="21" s="1"/>
  <c r="C66" i="21" s="1"/>
  <c r="C68" i="21" s="1"/>
  <c r="C69" i="21" s="1"/>
  <c r="C70" i="21" s="1"/>
  <c r="C71" i="21" s="1"/>
  <c r="C16" i="21"/>
  <c r="R11" i="21"/>
  <c r="R58" i="21" s="1"/>
  <c r="Q11" i="21"/>
  <c r="Q58" i="21" s="1"/>
  <c r="P11" i="21"/>
  <c r="P58" i="21" s="1"/>
  <c r="O11" i="21"/>
  <c r="O58" i="21" s="1"/>
  <c r="N11" i="21"/>
  <c r="N58" i="21" s="1"/>
  <c r="M11" i="21"/>
  <c r="M58" i="21" s="1"/>
  <c r="M6" i="21"/>
  <c r="H5" i="3" s="1"/>
  <c r="I3" i="21"/>
  <c r="F3" i="21"/>
  <c r="R2" i="21"/>
  <c r="Q78" i="20"/>
  <c r="R38" i="21" s="1"/>
  <c r="L77" i="20"/>
  <c r="P70" i="20"/>
  <c r="L70" i="20" s="1"/>
  <c r="K66" i="20"/>
  <c r="Q64" i="20"/>
  <c r="R26" i="21" s="1"/>
  <c r="P64" i="20"/>
  <c r="Q26" i="21" s="1"/>
  <c r="O64" i="20"/>
  <c r="P26" i="21" s="1"/>
  <c r="N64" i="20"/>
  <c r="O26" i="21" s="1"/>
  <c r="M64" i="20"/>
  <c r="N26" i="21" s="1"/>
  <c r="L64" i="20"/>
  <c r="M26" i="21" s="1"/>
  <c r="X63" i="20"/>
  <c r="W63" i="20"/>
  <c r="V63" i="20"/>
  <c r="U63" i="20"/>
  <c r="T63" i="20"/>
  <c r="K63" i="20"/>
  <c r="J63" i="20"/>
  <c r="G63" i="20"/>
  <c r="X62" i="20"/>
  <c r="J62" i="20"/>
  <c r="X61" i="20"/>
  <c r="Q59" i="20" s="1"/>
  <c r="R25" i="21" s="1"/>
  <c r="J61" i="20"/>
  <c r="AD56" i="20"/>
  <c r="AC56" i="20"/>
  <c r="AB56" i="20"/>
  <c r="AA56" i="20"/>
  <c r="Z56" i="20"/>
  <c r="X56" i="20"/>
  <c r="W56" i="20"/>
  <c r="V56" i="20"/>
  <c r="U56" i="20"/>
  <c r="T56" i="20"/>
  <c r="J56" i="20"/>
  <c r="AD55" i="20"/>
  <c r="AC55" i="20"/>
  <c r="AB55" i="20"/>
  <c r="AA55" i="20"/>
  <c r="Z55" i="20"/>
  <c r="X55" i="20"/>
  <c r="W55" i="20"/>
  <c r="V55" i="20"/>
  <c r="U55" i="20"/>
  <c r="T55" i="20"/>
  <c r="J55" i="20"/>
  <c r="AD54" i="20"/>
  <c r="X54" i="20"/>
  <c r="J54" i="20"/>
  <c r="AD53" i="20"/>
  <c r="X53" i="20"/>
  <c r="J53" i="20"/>
  <c r="AD52" i="20"/>
  <c r="X52" i="20"/>
  <c r="J52" i="20"/>
  <c r="AD51" i="20"/>
  <c r="AC51" i="20"/>
  <c r="AB51" i="20"/>
  <c r="X51" i="20"/>
  <c r="W51" i="20"/>
  <c r="V51" i="20"/>
  <c r="J51" i="20"/>
  <c r="AD49" i="20"/>
  <c r="AC49" i="20"/>
  <c r="AB49" i="20"/>
  <c r="AA49" i="20"/>
  <c r="Z49" i="20"/>
  <c r="X49" i="20"/>
  <c r="W49" i="20"/>
  <c r="V49" i="20"/>
  <c r="U49" i="20"/>
  <c r="T49" i="20"/>
  <c r="J49" i="20"/>
  <c r="AD48" i="20"/>
  <c r="AC48" i="20"/>
  <c r="AB48" i="20"/>
  <c r="AA48" i="20"/>
  <c r="Z48" i="20"/>
  <c r="X48" i="20"/>
  <c r="W48" i="20"/>
  <c r="V48" i="20"/>
  <c r="U48" i="20"/>
  <c r="T48" i="20"/>
  <c r="J48" i="20"/>
  <c r="AD47" i="20"/>
  <c r="X47" i="20"/>
  <c r="J47" i="20"/>
  <c r="AD46" i="20"/>
  <c r="X46" i="20"/>
  <c r="J46" i="20"/>
  <c r="L29" i="20"/>
  <c r="L28" i="20"/>
  <c r="J24" i="20"/>
  <c r="Q21" i="20"/>
  <c r="P21" i="20"/>
  <c r="O21" i="20"/>
  <c r="N21" i="20"/>
  <c r="M21" i="20"/>
  <c r="T13" i="20"/>
  <c r="T12" i="20"/>
  <c r="Q12" i="20"/>
  <c r="P12" i="20"/>
  <c r="O12" i="20"/>
  <c r="N12" i="20"/>
  <c r="M12" i="20"/>
  <c r="T11" i="20"/>
  <c r="Q11" i="20"/>
  <c r="Q18" i="20" s="1"/>
  <c r="R10" i="21" s="1"/>
  <c r="R56" i="21" s="1"/>
  <c r="P11" i="20"/>
  <c r="O11" i="20"/>
  <c r="N11" i="20"/>
  <c r="M11" i="20"/>
  <c r="T10" i="20"/>
  <c r="Q10" i="20"/>
  <c r="Q15" i="20" s="1"/>
  <c r="P10" i="20"/>
  <c r="O10" i="20"/>
  <c r="N10" i="20"/>
  <c r="M10" i="20"/>
  <c r="T9" i="20"/>
  <c r="Q9" i="20"/>
  <c r="P9" i="20"/>
  <c r="O9" i="20"/>
  <c r="N9" i="20"/>
  <c r="M9" i="20"/>
  <c r="T8" i="20"/>
  <c r="T7" i="20"/>
  <c r="O5" i="21" s="1"/>
  <c r="R7" i="20"/>
  <c r="T6" i="20"/>
  <c r="R6" i="21"/>
  <c r="Q6" i="21"/>
  <c r="P6" i="21"/>
  <c r="O6" i="21"/>
  <c r="T5" i="20"/>
  <c r="R5" i="21"/>
  <c r="P5" i="21"/>
  <c r="T4" i="20"/>
  <c r="J62" i="18"/>
  <c r="M43" i="19"/>
  <c r="G36" i="3" s="1"/>
  <c r="AA30" i="19"/>
  <c r="C20" i="19"/>
  <c r="C21" i="19" s="1"/>
  <c r="C22" i="19" s="1"/>
  <c r="C23" i="19" s="1"/>
  <c r="C24" i="19" s="1"/>
  <c r="C25" i="19" s="1"/>
  <c r="C26" i="19" s="1"/>
  <c r="C27" i="19" s="1"/>
  <c r="C28" i="19" s="1"/>
  <c r="C29" i="19" s="1"/>
  <c r="C30" i="19" s="1"/>
  <c r="C31" i="19" s="1"/>
  <c r="C32" i="19" s="1"/>
  <c r="C33" i="19" s="1"/>
  <c r="C34" i="19" s="1"/>
  <c r="C36" i="19" s="1"/>
  <c r="C37" i="19" s="1"/>
  <c r="C38" i="19" s="1"/>
  <c r="C39" i="19" s="1"/>
  <c r="C40" i="19" s="1"/>
  <c r="C41" i="19" s="1"/>
  <c r="C42" i="19" s="1"/>
  <c r="C43" i="19" s="1"/>
  <c r="C44" i="19" s="1"/>
  <c r="C45" i="19" s="1"/>
  <c r="C47" i="19" s="1"/>
  <c r="C48" i="19" s="1"/>
  <c r="C49" i="19" s="1"/>
  <c r="C50" i="19" s="1"/>
  <c r="C51" i="19" s="1"/>
  <c r="C52" i="19" s="1"/>
  <c r="C53" i="19" s="1"/>
  <c r="C55" i="19" s="1"/>
  <c r="C56" i="19" s="1"/>
  <c r="C57" i="19" s="1"/>
  <c r="C58" i="19" s="1"/>
  <c r="C59" i="19" s="1"/>
  <c r="C60" i="19" s="1"/>
  <c r="C62" i="19" s="1"/>
  <c r="C63" i="19" s="1"/>
  <c r="C64" i="19" s="1"/>
  <c r="C65" i="19" s="1"/>
  <c r="C66" i="19" s="1"/>
  <c r="C68" i="19" s="1"/>
  <c r="C69" i="19" s="1"/>
  <c r="C70" i="19" s="1"/>
  <c r="C71" i="19" s="1"/>
  <c r="C17" i="19"/>
  <c r="C19" i="19" s="1"/>
  <c r="C16" i="19"/>
  <c r="R11" i="19"/>
  <c r="R58" i="19" s="1"/>
  <c r="Q11" i="19"/>
  <c r="Q58" i="19" s="1"/>
  <c r="P11" i="19"/>
  <c r="P58" i="19" s="1"/>
  <c r="O11" i="19"/>
  <c r="O58" i="19" s="1"/>
  <c r="N11" i="19"/>
  <c r="N58" i="19" s="1"/>
  <c r="M11" i="19"/>
  <c r="M58" i="19" s="1"/>
  <c r="M6" i="19"/>
  <c r="G5" i="3" s="1"/>
  <c r="I3" i="19"/>
  <c r="F3" i="19"/>
  <c r="R2" i="19"/>
  <c r="Q78" i="18"/>
  <c r="R38" i="19" s="1"/>
  <c r="P78" i="18"/>
  <c r="Q38" i="19" s="1"/>
  <c r="L77" i="18"/>
  <c r="P70" i="18"/>
  <c r="L70" i="18" s="1"/>
  <c r="K66" i="18"/>
  <c r="Q64" i="18"/>
  <c r="R26" i="19" s="1"/>
  <c r="P64" i="18"/>
  <c r="Q26" i="19" s="1"/>
  <c r="O64" i="18"/>
  <c r="P26" i="19" s="1"/>
  <c r="N64" i="18"/>
  <c r="O26" i="19" s="1"/>
  <c r="M64" i="18"/>
  <c r="N26" i="19" s="1"/>
  <c r="L64" i="18"/>
  <c r="M26" i="19" s="1"/>
  <c r="X63" i="18"/>
  <c r="W63" i="18"/>
  <c r="V63" i="18"/>
  <c r="U63" i="18"/>
  <c r="T63" i="18"/>
  <c r="K63" i="18"/>
  <c r="J63" i="18"/>
  <c r="G63" i="18"/>
  <c r="X62" i="18"/>
  <c r="W62" i="18"/>
  <c r="X61" i="18"/>
  <c r="Q59" i="18" s="1"/>
  <c r="R25" i="19" s="1"/>
  <c r="W61" i="18"/>
  <c r="V61" i="18"/>
  <c r="U61" i="18"/>
  <c r="T61" i="18"/>
  <c r="J61" i="18"/>
  <c r="AD56" i="18"/>
  <c r="AC56" i="18"/>
  <c r="AB56" i="18"/>
  <c r="AA56" i="18"/>
  <c r="Z56" i="18"/>
  <c r="X56" i="18"/>
  <c r="W56" i="18"/>
  <c r="V56" i="18"/>
  <c r="U56" i="18"/>
  <c r="T56" i="18"/>
  <c r="J56" i="18"/>
  <c r="AD55" i="18"/>
  <c r="AC55" i="18"/>
  <c r="AB55" i="18"/>
  <c r="AA55" i="18"/>
  <c r="Z55" i="18"/>
  <c r="X55" i="18"/>
  <c r="W55" i="18"/>
  <c r="V55" i="18"/>
  <c r="U55" i="18"/>
  <c r="T55" i="18"/>
  <c r="J55" i="18"/>
  <c r="AD54" i="18"/>
  <c r="AC54" i="18"/>
  <c r="X54" i="18"/>
  <c r="W54" i="18"/>
  <c r="J54" i="18"/>
  <c r="AD53" i="18"/>
  <c r="AC53" i="18"/>
  <c r="X53" i="18"/>
  <c r="W53" i="18"/>
  <c r="J53" i="18"/>
  <c r="AD52" i="18"/>
  <c r="AC52" i="18"/>
  <c r="X52" i="18"/>
  <c r="W52" i="18"/>
  <c r="J52" i="18"/>
  <c r="AD51" i="18"/>
  <c r="AC51" i="18"/>
  <c r="AB51" i="18"/>
  <c r="X51" i="18"/>
  <c r="W51" i="18"/>
  <c r="V51" i="18"/>
  <c r="J51" i="18"/>
  <c r="AD49" i="18"/>
  <c r="AC49" i="18"/>
  <c r="AB49" i="18"/>
  <c r="AA49" i="18"/>
  <c r="Z49" i="18"/>
  <c r="X49" i="18"/>
  <c r="W49" i="18"/>
  <c r="V49" i="18"/>
  <c r="U49" i="18"/>
  <c r="T49" i="18"/>
  <c r="J49" i="18"/>
  <c r="AD48" i="18"/>
  <c r="AC48" i="18"/>
  <c r="AB48" i="18"/>
  <c r="AA48" i="18"/>
  <c r="Z48" i="18"/>
  <c r="X48" i="18"/>
  <c r="W48" i="18"/>
  <c r="V48" i="18"/>
  <c r="U48" i="18"/>
  <c r="T48" i="18"/>
  <c r="J48" i="18"/>
  <c r="AD47" i="18"/>
  <c r="AC47" i="18"/>
  <c r="X47" i="18"/>
  <c r="W47" i="18"/>
  <c r="J47" i="18"/>
  <c r="AD46" i="18"/>
  <c r="AC46" i="18"/>
  <c r="X46" i="18"/>
  <c r="W46" i="18"/>
  <c r="J46" i="18"/>
  <c r="L29" i="18"/>
  <c r="L28" i="18"/>
  <c r="J24" i="18"/>
  <c r="Q21" i="18"/>
  <c r="P21" i="18"/>
  <c r="O21" i="18"/>
  <c r="N21" i="18"/>
  <c r="M21" i="18"/>
  <c r="T13" i="18"/>
  <c r="P5" i="18" s="1"/>
  <c r="Q5" i="19" s="1"/>
  <c r="T12" i="18"/>
  <c r="Q12" i="18"/>
  <c r="Q16" i="18" s="1"/>
  <c r="P12" i="18"/>
  <c r="P16" i="18" s="1"/>
  <c r="O12" i="18"/>
  <c r="N12" i="18"/>
  <c r="M12" i="18"/>
  <c r="T11" i="18"/>
  <c r="Q11" i="18"/>
  <c r="Q18" i="18" s="1"/>
  <c r="R10" i="19" s="1"/>
  <c r="R56" i="19" s="1"/>
  <c r="P11" i="18"/>
  <c r="P18" i="18" s="1"/>
  <c r="Q10" i="19" s="1"/>
  <c r="Q56" i="19" s="1"/>
  <c r="O11" i="18"/>
  <c r="N11" i="18"/>
  <c r="M11" i="18"/>
  <c r="T10" i="18"/>
  <c r="Q10" i="18"/>
  <c r="Q15" i="18" s="1"/>
  <c r="P10" i="18"/>
  <c r="P15" i="18" s="1"/>
  <c r="O10" i="18"/>
  <c r="N10" i="18"/>
  <c r="M10" i="18"/>
  <c r="T9" i="18"/>
  <c r="Q9" i="18"/>
  <c r="P9" i="18"/>
  <c r="O9" i="18"/>
  <c r="N9" i="18"/>
  <c r="M9" i="18"/>
  <c r="T8" i="18"/>
  <c r="Q8" i="18"/>
  <c r="P8" i="18"/>
  <c r="O8" i="18"/>
  <c r="N8" i="18"/>
  <c r="M8" i="18"/>
  <c r="T7" i="18"/>
  <c r="O5" i="18" s="1"/>
  <c r="P5" i="19" s="1"/>
  <c r="R7" i="18"/>
  <c r="I7" i="18"/>
  <c r="T6" i="18"/>
  <c r="Q6" i="18"/>
  <c r="R6" i="19" s="1"/>
  <c r="P6" i="18"/>
  <c r="Q6" i="19" s="1"/>
  <c r="O6" i="18"/>
  <c r="P6" i="19" s="1"/>
  <c r="N6" i="18"/>
  <c r="O6" i="19" s="1"/>
  <c r="M6" i="18"/>
  <c r="T5" i="18"/>
  <c r="Q5" i="18"/>
  <c r="R5" i="19" s="1"/>
  <c r="N5" i="18"/>
  <c r="O5" i="19" s="1"/>
  <c r="T4" i="18"/>
  <c r="W53" i="20" l="1"/>
  <c r="U53" i="20"/>
  <c r="T53" i="18"/>
  <c r="V53" i="18"/>
  <c r="T53" i="20"/>
  <c r="M5" i="18"/>
  <c r="N5" i="19" s="1"/>
  <c r="N5" i="21"/>
  <c r="Q5" i="21"/>
  <c r="P5" i="26"/>
  <c r="Q5" i="27" s="1"/>
  <c r="O8" i="39"/>
  <c r="AA7" i="3" s="1"/>
  <c r="P10" i="38"/>
  <c r="O37" i="39" s="1"/>
  <c r="AA31" i="3" s="1"/>
  <c r="M13" i="39"/>
  <c r="Y12" i="3" s="1"/>
  <c r="M9" i="39"/>
  <c r="Y8" i="3" s="1"/>
  <c r="M12" i="39"/>
  <c r="Y11" i="3" s="1"/>
  <c r="L11" i="38"/>
  <c r="N8" i="39"/>
  <c r="Z7" i="3" s="1"/>
  <c r="N10" i="38"/>
  <c r="N37" i="39" s="1"/>
  <c r="Z31" i="3" s="1"/>
  <c r="O13" i="39"/>
  <c r="AA12" i="3" s="1"/>
  <c r="P11" i="38"/>
  <c r="O9" i="39"/>
  <c r="AA8" i="3" s="1"/>
  <c r="O12" i="39"/>
  <c r="AA11" i="3" s="1"/>
  <c r="M8" i="39"/>
  <c r="Y7" i="3" s="1"/>
  <c r="L10" i="38"/>
  <c r="M37" i="39" s="1"/>
  <c r="Y31" i="3" s="1"/>
  <c r="N9" i="39"/>
  <c r="Z8" i="3" s="1"/>
  <c r="N12" i="39"/>
  <c r="Z11" i="3" s="1"/>
  <c r="N13" i="39"/>
  <c r="Z12" i="3" s="1"/>
  <c r="N11" i="38"/>
  <c r="O13" i="35"/>
  <c r="U12" i="3" s="1"/>
  <c r="P11" i="34"/>
  <c r="O9" i="35"/>
  <c r="U8" i="3" s="1"/>
  <c r="O12" i="35"/>
  <c r="U11" i="3" s="1"/>
  <c r="K16" i="34"/>
  <c r="M13" i="35" s="1"/>
  <c r="S12" i="3" s="1"/>
  <c r="L11" i="34"/>
  <c r="M9" i="35"/>
  <c r="S8" i="3" s="1"/>
  <c r="K15" i="34"/>
  <c r="M12" i="35" s="1"/>
  <c r="S11" i="3" s="1"/>
  <c r="N8" i="35"/>
  <c r="T7" i="3" s="1"/>
  <c r="N10" i="34"/>
  <c r="N37" i="35" s="1"/>
  <c r="T31" i="3" s="1"/>
  <c r="N9" i="35"/>
  <c r="T8" i="3" s="1"/>
  <c r="M15" i="34"/>
  <c r="N12" i="35" s="1"/>
  <c r="T11" i="3" s="1"/>
  <c r="N11" i="34"/>
  <c r="M16" i="34"/>
  <c r="N13" i="35" s="1"/>
  <c r="T12" i="3" s="1"/>
  <c r="O8" i="35"/>
  <c r="U7" i="3" s="1"/>
  <c r="P10" i="34"/>
  <c r="O37" i="35" s="1"/>
  <c r="U31" i="3" s="1"/>
  <c r="M8" i="35"/>
  <c r="S7" i="3" s="1"/>
  <c r="L10" i="34"/>
  <c r="M37" i="35" s="1"/>
  <c r="S31" i="3" s="1"/>
  <c r="N10" i="36"/>
  <c r="N37" i="37" s="1"/>
  <c r="W31" i="3" s="1"/>
  <c r="P11" i="36"/>
  <c r="K15" i="36"/>
  <c r="L65" i="36" s="1"/>
  <c r="M22" i="37" s="1"/>
  <c r="V20" i="3" s="1"/>
  <c r="P65" i="36"/>
  <c r="O22" i="37" s="1"/>
  <c r="X20" i="3" s="1"/>
  <c r="O12" i="37"/>
  <c r="X11" i="3" s="1"/>
  <c r="O10" i="37"/>
  <c r="X9" i="3" s="1"/>
  <c r="P12" i="36"/>
  <c r="O11" i="37" s="1"/>
  <c r="M10" i="37"/>
  <c r="V9" i="3" s="1"/>
  <c r="L12" i="36"/>
  <c r="M11" i="37" s="1"/>
  <c r="M12" i="37"/>
  <c r="V11" i="3" s="1"/>
  <c r="N12" i="37"/>
  <c r="W11" i="3" s="1"/>
  <c r="N65" i="36"/>
  <c r="N22" i="37" s="1"/>
  <c r="W20" i="3" s="1"/>
  <c r="N10" i="37"/>
  <c r="W9" i="3" s="1"/>
  <c r="N12" i="36"/>
  <c r="N11" i="37" s="1"/>
  <c r="O16" i="50"/>
  <c r="O13" i="51" s="1"/>
  <c r="P11" i="50"/>
  <c r="O9" i="51"/>
  <c r="O15" i="50"/>
  <c r="K16" i="50"/>
  <c r="M13" i="51" s="1"/>
  <c r="L11" i="50"/>
  <c r="M9" i="51"/>
  <c r="K15" i="50"/>
  <c r="N8" i="51"/>
  <c r="N10" i="50"/>
  <c r="N37" i="51" s="1"/>
  <c r="N9" i="51"/>
  <c r="M15" i="50"/>
  <c r="N11" i="50"/>
  <c r="M16" i="50"/>
  <c r="N13" i="51" s="1"/>
  <c r="O8" i="51"/>
  <c r="P10" i="50"/>
  <c r="O37" i="51" s="1"/>
  <c r="M8" i="51"/>
  <c r="L10" i="50"/>
  <c r="M37" i="51" s="1"/>
  <c r="P59" i="18"/>
  <c r="Q25" i="19" s="1"/>
  <c r="Q62" i="26"/>
  <c r="X62" i="26" s="1"/>
  <c r="Q59" i="26" s="1"/>
  <c r="R25" i="27" s="1"/>
  <c r="O13" i="28"/>
  <c r="Q13" i="28"/>
  <c r="T52" i="28"/>
  <c r="T51" i="28"/>
  <c r="N14" i="28"/>
  <c r="N15" i="28" s="1"/>
  <c r="O8" i="29" s="1"/>
  <c r="M13" i="28"/>
  <c r="Q8" i="29"/>
  <c r="Q29" i="29" s="1"/>
  <c r="P62" i="28"/>
  <c r="W62" i="28" s="1"/>
  <c r="P59" i="28" s="1"/>
  <c r="Q25" i="29" s="1"/>
  <c r="N16" i="28"/>
  <c r="N79" i="28" s="1"/>
  <c r="Q37" i="29"/>
  <c r="Q40" i="29" s="1"/>
  <c r="P77" i="28"/>
  <c r="Q43" i="29"/>
  <c r="R8" i="29"/>
  <c r="R29" i="29" s="1"/>
  <c r="Q62" i="28"/>
  <c r="X62" i="28" s="1"/>
  <c r="Q59" i="28" s="1"/>
  <c r="R25" i="29" s="1"/>
  <c r="N43" i="29"/>
  <c r="P43" i="29"/>
  <c r="R43" i="29"/>
  <c r="K9" i="28"/>
  <c r="N13" i="28"/>
  <c r="P13" i="28"/>
  <c r="M14" i="28"/>
  <c r="O14" i="28"/>
  <c r="O15" i="28" s="1"/>
  <c r="Q14" i="28"/>
  <c r="Q16" i="28"/>
  <c r="O43" i="29"/>
  <c r="K8" i="28"/>
  <c r="P14" i="28"/>
  <c r="AA47" i="28"/>
  <c r="AA51" i="28"/>
  <c r="AA52" i="28"/>
  <c r="P79" i="28"/>
  <c r="Q14" i="26"/>
  <c r="R7" i="27" s="1"/>
  <c r="W53" i="22"/>
  <c r="AC53" i="22"/>
  <c r="M13" i="20"/>
  <c r="O13" i="20"/>
  <c r="Q13" i="20"/>
  <c r="Q53" i="22"/>
  <c r="P62" i="22"/>
  <c r="W62" i="22" s="1"/>
  <c r="P59" i="22" s="1"/>
  <c r="Q25" i="23" s="1"/>
  <c r="M13" i="18"/>
  <c r="O13" i="18"/>
  <c r="Q13" i="18"/>
  <c r="M14" i="26"/>
  <c r="N7" i="27" s="1"/>
  <c r="P43" i="27"/>
  <c r="Q53" i="26"/>
  <c r="R8" i="27"/>
  <c r="R29" i="27" s="1"/>
  <c r="R37" i="27"/>
  <c r="R40" i="27" s="1"/>
  <c r="Q77" i="26"/>
  <c r="O43" i="27"/>
  <c r="Q43" i="27"/>
  <c r="K8" i="26"/>
  <c r="M13" i="26"/>
  <c r="O13" i="26"/>
  <c r="Q13" i="26"/>
  <c r="N14" i="26"/>
  <c r="P14" i="26"/>
  <c r="P15" i="26" s="1"/>
  <c r="N6" i="27"/>
  <c r="R6" i="27"/>
  <c r="K9" i="26"/>
  <c r="O14" i="26"/>
  <c r="Q79" i="26"/>
  <c r="N43" i="25"/>
  <c r="R43" i="25"/>
  <c r="R8" i="25"/>
  <c r="R29" i="25" s="1"/>
  <c r="Q62" i="24"/>
  <c r="X62" i="24" s="1"/>
  <c r="Q59" i="24" s="1"/>
  <c r="R25" i="25" s="1"/>
  <c r="Q53" i="24"/>
  <c r="R37" i="25"/>
  <c r="R40" i="25" s="1"/>
  <c r="Q77" i="24"/>
  <c r="N17" i="24"/>
  <c r="N18" i="24" s="1"/>
  <c r="O10" i="25" s="1"/>
  <c r="O7" i="25"/>
  <c r="P17" i="24"/>
  <c r="Q7" i="25"/>
  <c r="N15" i="24"/>
  <c r="P53" i="24"/>
  <c r="Q8" i="25"/>
  <c r="Q29" i="25" s="1"/>
  <c r="P62" i="24"/>
  <c r="W62" i="24" s="1"/>
  <c r="P59" i="24" s="1"/>
  <c r="Q25" i="25" s="1"/>
  <c r="N16" i="24"/>
  <c r="Q37" i="25"/>
  <c r="Q40" i="25" s="1"/>
  <c r="P77" i="24"/>
  <c r="P43" i="25"/>
  <c r="K9" i="24"/>
  <c r="N13" i="24"/>
  <c r="P13" i="24"/>
  <c r="M14" i="24"/>
  <c r="M15" i="24" s="1"/>
  <c r="M16" i="24" s="1"/>
  <c r="O14" i="24"/>
  <c r="O15" i="24" s="1"/>
  <c r="Q14" i="24"/>
  <c r="Q18" i="24"/>
  <c r="R10" i="25" s="1"/>
  <c r="R56" i="25" s="1"/>
  <c r="Q79" i="24"/>
  <c r="O6" i="25"/>
  <c r="Q6" i="25"/>
  <c r="K8" i="24"/>
  <c r="P79" i="24"/>
  <c r="N43" i="23"/>
  <c r="P43" i="23"/>
  <c r="R43" i="23"/>
  <c r="R8" i="23"/>
  <c r="R29" i="23" s="1"/>
  <c r="R37" i="23"/>
  <c r="R40" i="23" s="1"/>
  <c r="Q77" i="22"/>
  <c r="Q8" i="23"/>
  <c r="Q29" i="23" s="1"/>
  <c r="Q37" i="23"/>
  <c r="Q40" i="23" s="1"/>
  <c r="P77" i="22"/>
  <c r="K9" i="22"/>
  <c r="N13" i="22"/>
  <c r="P13" i="22"/>
  <c r="M14" i="22"/>
  <c r="O14" i="22"/>
  <c r="Q14" i="22"/>
  <c r="Q18" i="22"/>
  <c r="R10" i="23" s="1"/>
  <c r="R56" i="23" s="1"/>
  <c r="V46" i="22"/>
  <c r="V47" i="22"/>
  <c r="P79" i="22"/>
  <c r="O43" i="23"/>
  <c r="Q43" i="23"/>
  <c r="K8" i="22"/>
  <c r="N14" i="22"/>
  <c r="P14" i="22"/>
  <c r="Q79" i="22"/>
  <c r="K9" i="20"/>
  <c r="P13" i="20"/>
  <c r="M14" i="20"/>
  <c r="M17" i="20" s="1"/>
  <c r="Q14" i="20"/>
  <c r="Q17" i="20" s="1"/>
  <c r="M15" i="20"/>
  <c r="N8" i="21" s="1"/>
  <c r="R8" i="21"/>
  <c r="R29" i="21" s="1"/>
  <c r="Q50" i="20"/>
  <c r="R7" i="21"/>
  <c r="Q16" i="20"/>
  <c r="Q79" i="20" s="1"/>
  <c r="N6" i="21"/>
  <c r="P43" i="21"/>
  <c r="R43" i="21"/>
  <c r="N13" i="20"/>
  <c r="O14" i="20"/>
  <c r="O43" i="21"/>
  <c r="Q43" i="21"/>
  <c r="N14" i="20"/>
  <c r="P14" i="20"/>
  <c r="P15" i="20" s="1"/>
  <c r="R8" i="19"/>
  <c r="R29" i="19" s="1"/>
  <c r="K8" i="18"/>
  <c r="N6" i="19"/>
  <c r="P43" i="19"/>
  <c r="R43" i="19"/>
  <c r="Q37" i="19"/>
  <c r="Q40" i="19" s="1"/>
  <c r="P77" i="18"/>
  <c r="N13" i="18"/>
  <c r="O14" i="18"/>
  <c r="R37" i="19"/>
  <c r="R40" i="19" s="1"/>
  <c r="Q77" i="18"/>
  <c r="K9" i="18"/>
  <c r="Q8" i="19"/>
  <c r="Q29" i="19" s="1"/>
  <c r="P13" i="18"/>
  <c r="M14" i="18"/>
  <c r="M15" i="18" s="1"/>
  <c r="M16" i="18" s="1"/>
  <c r="Q14" i="18"/>
  <c r="P79" i="18"/>
  <c r="O43" i="19"/>
  <c r="Q43" i="19"/>
  <c r="N14" i="18"/>
  <c r="P14" i="18"/>
  <c r="Q79" i="18"/>
  <c r="Q6" i="14"/>
  <c r="P6" i="14"/>
  <c r="P6" i="16"/>
  <c r="O6" i="16"/>
  <c r="Q6" i="16"/>
  <c r="AA30" i="17"/>
  <c r="C17" i="17"/>
  <c r="C19" i="17" s="1"/>
  <c r="C20" i="17" s="1"/>
  <c r="C21" i="17" s="1"/>
  <c r="C22" i="17" s="1"/>
  <c r="C23" i="17" s="1"/>
  <c r="C24" i="17" s="1"/>
  <c r="C25" i="17" s="1"/>
  <c r="C26" i="17" s="1"/>
  <c r="C27" i="17" s="1"/>
  <c r="C28" i="17" s="1"/>
  <c r="C29" i="17" s="1"/>
  <c r="C30" i="17" s="1"/>
  <c r="C31" i="17" s="1"/>
  <c r="C32" i="17" s="1"/>
  <c r="C33" i="17" s="1"/>
  <c r="C34" i="17" s="1"/>
  <c r="C36" i="17" s="1"/>
  <c r="C37" i="17" s="1"/>
  <c r="C38" i="17" s="1"/>
  <c r="C39" i="17" s="1"/>
  <c r="C40" i="17" s="1"/>
  <c r="C41" i="17" s="1"/>
  <c r="C42" i="17" s="1"/>
  <c r="C43" i="17" s="1"/>
  <c r="C44" i="17" s="1"/>
  <c r="C45" i="17" s="1"/>
  <c r="C47" i="17" s="1"/>
  <c r="C48" i="17" s="1"/>
  <c r="C49" i="17" s="1"/>
  <c r="C50" i="17" s="1"/>
  <c r="C51" i="17" s="1"/>
  <c r="C52" i="17" s="1"/>
  <c r="C53" i="17" s="1"/>
  <c r="C55" i="17" s="1"/>
  <c r="C56" i="17" s="1"/>
  <c r="C57" i="17" s="1"/>
  <c r="C58" i="17" s="1"/>
  <c r="C59" i="17" s="1"/>
  <c r="C60" i="17" s="1"/>
  <c r="C62" i="17" s="1"/>
  <c r="C63" i="17" s="1"/>
  <c r="C64" i="17" s="1"/>
  <c r="C65" i="17" s="1"/>
  <c r="C66" i="17" s="1"/>
  <c r="C68" i="17" s="1"/>
  <c r="C69" i="17" s="1"/>
  <c r="C70" i="17" s="1"/>
  <c r="C71" i="17" s="1"/>
  <c r="C16" i="17"/>
  <c r="R11" i="17"/>
  <c r="R58" i="17" s="1"/>
  <c r="Q11" i="17"/>
  <c r="Q58" i="17" s="1"/>
  <c r="P11" i="17"/>
  <c r="P58" i="17" s="1"/>
  <c r="O11" i="17"/>
  <c r="O58" i="17" s="1"/>
  <c r="N11" i="17"/>
  <c r="N58" i="17" s="1"/>
  <c r="M11" i="17"/>
  <c r="M58" i="17" s="1"/>
  <c r="R6" i="17"/>
  <c r="Q6" i="17"/>
  <c r="M6" i="17"/>
  <c r="F5" i="3" s="1"/>
  <c r="I3" i="17"/>
  <c r="F3" i="17"/>
  <c r="R2" i="17"/>
  <c r="Q78" i="16"/>
  <c r="R38" i="17" s="1"/>
  <c r="P78" i="16"/>
  <c r="Q38" i="17" s="1"/>
  <c r="O78" i="16"/>
  <c r="P38" i="17" s="1"/>
  <c r="N78" i="16"/>
  <c r="M78" i="16"/>
  <c r="N38" i="17" s="1"/>
  <c r="L77" i="16"/>
  <c r="P70" i="16"/>
  <c r="L70" i="16" s="1"/>
  <c r="L67" i="16" s="1"/>
  <c r="M23" i="17" s="1"/>
  <c r="F20" i="3" s="1"/>
  <c r="L69" i="16"/>
  <c r="Q67" i="16"/>
  <c r="R23" i="17" s="1"/>
  <c r="O67" i="16"/>
  <c r="P23" i="17" s="1"/>
  <c r="N67" i="16"/>
  <c r="O23" i="17" s="1"/>
  <c r="M67" i="16"/>
  <c r="N23" i="17" s="1"/>
  <c r="K66" i="16"/>
  <c r="Q64" i="16"/>
  <c r="R26" i="17" s="1"/>
  <c r="P64" i="16"/>
  <c r="Q26" i="17" s="1"/>
  <c r="O64" i="16"/>
  <c r="P26" i="17" s="1"/>
  <c r="N64" i="16"/>
  <c r="O26" i="17" s="1"/>
  <c r="M64" i="16"/>
  <c r="N26" i="17" s="1"/>
  <c r="L64" i="16"/>
  <c r="M26" i="17" s="1"/>
  <c r="X63" i="16"/>
  <c r="W63" i="16"/>
  <c r="V63" i="16"/>
  <c r="U63" i="16"/>
  <c r="T63" i="16"/>
  <c r="K63" i="16"/>
  <c r="J63" i="16"/>
  <c r="G63" i="16"/>
  <c r="X62" i="16"/>
  <c r="W62" i="16"/>
  <c r="V62" i="16"/>
  <c r="U62" i="16"/>
  <c r="T62" i="16"/>
  <c r="L62" i="16"/>
  <c r="X61" i="16"/>
  <c r="Q59" i="16" s="1"/>
  <c r="R25" i="17" s="1"/>
  <c r="J61" i="16"/>
  <c r="AD56" i="16"/>
  <c r="AC56" i="16"/>
  <c r="AB56" i="16"/>
  <c r="AA56" i="16"/>
  <c r="Z56" i="16"/>
  <c r="X56" i="16"/>
  <c r="W56" i="16"/>
  <c r="V56" i="16"/>
  <c r="U56" i="16"/>
  <c r="T56" i="16"/>
  <c r="J56" i="16"/>
  <c r="AD55" i="16"/>
  <c r="AC55" i="16"/>
  <c r="AB55" i="16"/>
  <c r="AA55" i="16"/>
  <c r="Z55" i="16"/>
  <c r="X55" i="16"/>
  <c r="W55" i="16"/>
  <c r="V55" i="16"/>
  <c r="U55" i="16"/>
  <c r="T55" i="16"/>
  <c r="J55" i="16"/>
  <c r="AD54" i="16"/>
  <c r="AC54" i="16"/>
  <c r="AB54" i="16"/>
  <c r="AA54" i="16"/>
  <c r="Z54" i="16"/>
  <c r="X54" i="16"/>
  <c r="W54" i="16"/>
  <c r="V54" i="16"/>
  <c r="U54" i="16"/>
  <c r="T54" i="16"/>
  <c r="J54" i="16"/>
  <c r="AD53" i="16"/>
  <c r="AC53" i="16"/>
  <c r="AB53" i="16"/>
  <c r="AA53" i="16"/>
  <c r="Z53" i="16"/>
  <c r="X53" i="16"/>
  <c r="W53" i="16"/>
  <c r="V53" i="16"/>
  <c r="U53" i="16"/>
  <c r="T53" i="16"/>
  <c r="J53" i="16"/>
  <c r="AD52" i="16"/>
  <c r="AC52" i="16"/>
  <c r="AB52" i="16"/>
  <c r="AA52" i="16"/>
  <c r="Z52" i="16"/>
  <c r="X52" i="16"/>
  <c r="W52" i="16"/>
  <c r="V52" i="16"/>
  <c r="U52" i="16"/>
  <c r="T52" i="16"/>
  <c r="J52" i="16"/>
  <c r="AD51" i="16"/>
  <c r="AC51" i="16"/>
  <c r="AB51" i="16"/>
  <c r="AA51" i="16"/>
  <c r="Z51" i="16"/>
  <c r="X51" i="16"/>
  <c r="W51" i="16"/>
  <c r="V51" i="16"/>
  <c r="U51" i="16"/>
  <c r="T51" i="16"/>
  <c r="J51" i="16"/>
  <c r="AD49" i="16"/>
  <c r="AC49" i="16"/>
  <c r="AB49" i="16"/>
  <c r="AA49" i="16"/>
  <c r="Z49" i="16"/>
  <c r="X49" i="16"/>
  <c r="W49" i="16"/>
  <c r="V49" i="16"/>
  <c r="U49" i="16"/>
  <c r="T49" i="16"/>
  <c r="J49" i="16"/>
  <c r="AD48" i="16"/>
  <c r="AC48" i="16"/>
  <c r="AB48" i="16"/>
  <c r="AA48" i="16"/>
  <c r="Z48" i="16"/>
  <c r="X48" i="16"/>
  <c r="W48" i="16"/>
  <c r="V48" i="16"/>
  <c r="U48" i="16"/>
  <c r="T48" i="16"/>
  <c r="J48" i="16"/>
  <c r="AD47" i="16"/>
  <c r="X47" i="16"/>
  <c r="J47" i="16"/>
  <c r="AD46" i="16"/>
  <c r="X46" i="16"/>
  <c r="J46" i="16"/>
  <c r="L29" i="16"/>
  <c r="L28" i="16"/>
  <c r="J24" i="16"/>
  <c r="Q21" i="16"/>
  <c r="P21" i="16"/>
  <c r="O21" i="16"/>
  <c r="N21" i="16"/>
  <c r="M21" i="16"/>
  <c r="T13" i="16"/>
  <c r="T12" i="16"/>
  <c r="Q12" i="16"/>
  <c r="Q16" i="16" s="1"/>
  <c r="P12" i="16"/>
  <c r="O12" i="16"/>
  <c r="N12" i="16"/>
  <c r="M12" i="16"/>
  <c r="T11" i="16"/>
  <c r="Q11" i="16"/>
  <c r="Q18" i="16" s="1"/>
  <c r="R10" i="17" s="1"/>
  <c r="R56" i="17" s="1"/>
  <c r="P11" i="16"/>
  <c r="O11" i="16"/>
  <c r="N11" i="16"/>
  <c r="M11" i="16"/>
  <c r="T10" i="16"/>
  <c r="Q10" i="16"/>
  <c r="Q15" i="16" s="1"/>
  <c r="P10" i="16"/>
  <c r="O10" i="16"/>
  <c r="N10" i="16"/>
  <c r="M10" i="16"/>
  <c r="T9" i="16"/>
  <c r="Q9" i="16"/>
  <c r="P9" i="16"/>
  <c r="O9" i="16"/>
  <c r="N9" i="16"/>
  <c r="M9" i="16"/>
  <c r="T8" i="16"/>
  <c r="Q8" i="16"/>
  <c r="Q14" i="16" s="1"/>
  <c r="P8" i="16"/>
  <c r="P14" i="16" s="1"/>
  <c r="O8" i="16"/>
  <c r="N8" i="16"/>
  <c r="M8" i="16"/>
  <c r="T7" i="16"/>
  <c r="R7" i="16"/>
  <c r="I7" i="16" s="1"/>
  <c r="T6" i="16"/>
  <c r="P6" i="17"/>
  <c r="N6" i="16"/>
  <c r="O6" i="17" s="1"/>
  <c r="M6" i="16"/>
  <c r="N6" i="17" s="1"/>
  <c r="T5" i="16"/>
  <c r="Q5" i="16"/>
  <c r="R5" i="17" s="1"/>
  <c r="O5" i="16"/>
  <c r="P5" i="17" s="1"/>
  <c r="N5" i="16"/>
  <c r="O5" i="17" s="1"/>
  <c r="M5" i="16"/>
  <c r="N5" i="17" s="1"/>
  <c r="T4" i="16"/>
  <c r="H32" i="13"/>
  <c r="O62" i="28" l="1"/>
  <c r="V62" i="28" s="1"/>
  <c r="O59" i="28" s="1"/>
  <c r="P25" i="29" s="1"/>
  <c r="O16" i="28"/>
  <c r="O79" i="28" s="1"/>
  <c r="P8" i="29"/>
  <c r="P29" i="29" s="1"/>
  <c r="O7" i="29"/>
  <c r="P5" i="16"/>
  <c r="Q5" i="17" s="1"/>
  <c r="O60" i="38"/>
  <c r="O61" i="38"/>
  <c r="P61" i="38" s="1"/>
  <c r="K61" i="38"/>
  <c r="L61" i="38" s="1"/>
  <c r="K60" i="38"/>
  <c r="M60" i="38"/>
  <c r="M61" i="38"/>
  <c r="N61" i="38" s="1"/>
  <c r="N12" i="38"/>
  <c r="N11" i="39" s="1"/>
  <c r="N10" i="39"/>
  <c r="Z9" i="3" s="1"/>
  <c r="O10" i="39"/>
  <c r="AA9" i="3" s="1"/>
  <c r="P12" i="38"/>
  <c r="O11" i="39" s="1"/>
  <c r="M10" i="39"/>
  <c r="Y9" i="3" s="1"/>
  <c r="L12" i="38"/>
  <c r="M11" i="39" s="1"/>
  <c r="I37" i="35"/>
  <c r="M39" i="35" s="1"/>
  <c r="S33" i="3" s="1"/>
  <c r="N12" i="34"/>
  <c r="N11" i="35" s="1"/>
  <c r="N10" i="35"/>
  <c r="T9" i="3" s="1"/>
  <c r="M10" i="35"/>
  <c r="S9" i="3" s="1"/>
  <c r="L12" i="34"/>
  <c r="M11" i="35" s="1"/>
  <c r="O10" i="35"/>
  <c r="U9" i="3" s="1"/>
  <c r="P12" i="34"/>
  <c r="O11" i="35" s="1"/>
  <c r="I37" i="51"/>
  <c r="M39" i="51" s="1"/>
  <c r="M66" i="50"/>
  <c r="N65" i="50" s="1"/>
  <c r="N22" i="51" s="1"/>
  <c r="N12" i="51"/>
  <c r="N12" i="50"/>
  <c r="N11" i="51" s="1"/>
  <c r="N10" i="51"/>
  <c r="M12" i="51"/>
  <c r="K66" i="50"/>
  <c r="L65" i="50" s="1"/>
  <c r="M22" i="51" s="1"/>
  <c r="M10" i="51"/>
  <c r="L12" i="50"/>
  <c r="M11" i="51" s="1"/>
  <c r="O12" i="51"/>
  <c r="O66" i="50"/>
  <c r="P65" i="50" s="1"/>
  <c r="O22" i="51" s="1"/>
  <c r="O10" i="51"/>
  <c r="P12" i="50"/>
  <c r="O11" i="51" s="1"/>
  <c r="P62" i="26"/>
  <c r="M17" i="26"/>
  <c r="M18" i="26" s="1"/>
  <c r="N17" i="28"/>
  <c r="N18" i="28" s="1"/>
  <c r="O10" i="29" s="1"/>
  <c r="U62" i="28"/>
  <c r="N59" i="28" s="1"/>
  <c r="O25" i="29" s="1"/>
  <c r="P17" i="28"/>
  <c r="Q7" i="29"/>
  <c r="R37" i="29"/>
  <c r="R40" i="29" s="1"/>
  <c r="Q77" i="28"/>
  <c r="P7" i="29"/>
  <c r="O17" i="28"/>
  <c r="O18" i="28" s="1"/>
  <c r="P10" i="29" s="1"/>
  <c r="P56" i="29" s="1"/>
  <c r="V53" i="28"/>
  <c r="O57" i="28" s="1"/>
  <c r="O58" i="28" s="1"/>
  <c r="P36" i="29" s="1"/>
  <c r="AB53" i="28"/>
  <c r="O43" i="28" s="1"/>
  <c r="P24" i="29" s="1"/>
  <c r="AC53" i="28"/>
  <c r="P43" i="28" s="1"/>
  <c r="Q24" i="29" s="1"/>
  <c r="W53" i="28"/>
  <c r="P57" i="28" s="1"/>
  <c r="P58" i="28" s="1"/>
  <c r="Q36" i="29" s="1"/>
  <c r="Q79" i="28"/>
  <c r="O77" i="28"/>
  <c r="R7" i="29"/>
  <c r="Q17" i="28"/>
  <c r="N7" i="29"/>
  <c r="K14" i="28"/>
  <c r="M17" i="28"/>
  <c r="K11" i="28"/>
  <c r="X53" i="28"/>
  <c r="Q57" i="28" s="1"/>
  <c r="Q58" i="28" s="1"/>
  <c r="R36" i="29" s="1"/>
  <c r="AD53" i="28"/>
  <c r="Q43" i="28" s="1"/>
  <c r="R24" i="29" s="1"/>
  <c r="M15" i="28"/>
  <c r="O37" i="29"/>
  <c r="O40" i="29" s="1"/>
  <c r="N77" i="28"/>
  <c r="AA53" i="28"/>
  <c r="U53" i="28"/>
  <c r="Q17" i="26"/>
  <c r="R9" i="27" s="1"/>
  <c r="M16" i="20"/>
  <c r="N37" i="21" s="1"/>
  <c r="N7" i="21"/>
  <c r="AD53" i="22"/>
  <c r="X53" i="22"/>
  <c r="M13" i="16"/>
  <c r="O13" i="16"/>
  <c r="M15" i="26"/>
  <c r="M62" i="26" s="1"/>
  <c r="Q8" i="27"/>
  <c r="P53" i="26"/>
  <c r="P16" i="26"/>
  <c r="N43" i="27"/>
  <c r="Q7" i="27"/>
  <c r="P17" i="26"/>
  <c r="P18" i="26" s="1"/>
  <c r="Q10" i="27" s="1"/>
  <c r="AD53" i="26"/>
  <c r="Q43" i="26" s="1"/>
  <c r="R24" i="27" s="1"/>
  <c r="X53" i="26"/>
  <c r="Q57" i="26" s="1"/>
  <c r="Q58" i="26" s="1"/>
  <c r="R36" i="27" s="1"/>
  <c r="O17" i="26"/>
  <c r="P7" i="27"/>
  <c r="R43" i="27"/>
  <c r="O7" i="27"/>
  <c r="N17" i="26"/>
  <c r="N15" i="26"/>
  <c r="K14" i="26"/>
  <c r="O15" i="26"/>
  <c r="O62" i="24"/>
  <c r="O16" i="24"/>
  <c r="K16" i="24" s="1"/>
  <c r="P8" i="25"/>
  <c r="O53" i="24"/>
  <c r="N37" i="25"/>
  <c r="M77" i="24"/>
  <c r="Q43" i="25"/>
  <c r="O43" i="25"/>
  <c r="R7" i="25"/>
  <c r="Q17" i="24"/>
  <c r="N7" i="25"/>
  <c r="K14" i="24"/>
  <c r="M17" i="24"/>
  <c r="K11" i="24"/>
  <c r="N53" i="24"/>
  <c r="O8" i="25"/>
  <c r="N62" i="24"/>
  <c r="Q9" i="25"/>
  <c r="P23" i="24"/>
  <c r="Q13" i="25" s="1"/>
  <c r="P22" i="24"/>
  <c r="Q12" i="25" s="1"/>
  <c r="P7" i="25"/>
  <c r="O17" i="24"/>
  <c r="O18" i="24" s="1"/>
  <c r="P10" i="25" s="1"/>
  <c r="O37" i="25"/>
  <c r="N77" i="24"/>
  <c r="AC53" i="24"/>
  <c r="P43" i="24" s="1"/>
  <c r="Q24" i="25" s="1"/>
  <c r="W53" i="24"/>
  <c r="P57" i="24" s="1"/>
  <c r="P58" i="24" s="1"/>
  <c r="Q36" i="25" s="1"/>
  <c r="O9" i="25"/>
  <c r="N23" i="24"/>
  <c r="O13" i="25" s="1"/>
  <c r="N22" i="24"/>
  <c r="O12" i="25" s="1"/>
  <c r="X53" i="24"/>
  <c r="Q57" i="24" s="1"/>
  <c r="Q58" i="24" s="1"/>
  <c r="R36" i="25" s="1"/>
  <c r="AD53" i="24"/>
  <c r="Q43" i="24" s="1"/>
  <c r="R24" i="25" s="1"/>
  <c r="N8" i="25"/>
  <c r="M62" i="24"/>
  <c r="K15" i="24"/>
  <c r="M8" i="25" s="1"/>
  <c r="L7" i="3" s="1"/>
  <c r="M53" i="24"/>
  <c r="O7" i="23"/>
  <c r="N17" i="22"/>
  <c r="P7" i="23"/>
  <c r="O17" i="22"/>
  <c r="AC50" i="22"/>
  <c r="P43" i="22" s="1"/>
  <c r="Q24" i="23" s="1"/>
  <c r="W50" i="22"/>
  <c r="P57" i="22" s="1"/>
  <c r="P58" i="22" s="1"/>
  <c r="Q36" i="23" s="1"/>
  <c r="N15" i="22"/>
  <c r="X50" i="22"/>
  <c r="AD50" i="22"/>
  <c r="O15" i="22"/>
  <c r="Q7" i="23"/>
  <c r="P17" i="22"/>
  <c r="R7" i="23"/>
  <c r="Q17" i="22"/>
  <c r="N7" i="23"/>
  <c r="K14" i="22"/>
  <c r="M17" i="22"/>
  <c r="M15" i="22"/>
  <c r="M62" i="22" s="1"/>
  <c r="Q8" i="21"/>
  <c r="P16" i="20"/>
  <c r="Q7" i="21"/>
  <c r="P17" i="20"/>
  <c r="P18" i="20" s="1"/>
  <c r="Q10" i="21" s="1"/>
  <c r="N43" i="21"/>
  <c r="M77" i="20"/>
  <c r="O7" i="21"/>
  <c r="N17" i="20"/>
  <c r="P7" i="21"/>
  <c r="O17" i="20"/>
  <c r="O15" i="20"/>
  <c r="R37" i="21"/>
  <c r="R40" i="21" s="1"/>
  <c r="Q77" i="20"/>
  <c r="N15" i="20"/>
  <c r="R9" i="21"/>
  <c r="Q23" i="20"/>
  <c r="R13" i="21" s="1"/>
  <c r="Q22" i="20"/>
  <c r="R12" i="21" s="1"/>
  <c r="N9" i="21"/>
  <c r="M23" i="20"/>
  <c r="M22" i="20"/>
  <c r="M18" i="20"/>
  <c r="K14" i="20"/>
  <c r="K10" i="20" s="1"/>
  <c r="W66" i="20" s="1"/>
  <c r="X50" i="20"/>
  <c r="Q57" i="20" s="1"/>
  <c r="Q58" i="20" s="1"/>
  <c r="R36" i="21" s="1"/>
  <c r="AD50" i="20"/>
  <c r="Q43" i="20" s="1"/>
  <c r="R24" i="21" s="1"/>
  <c r="N37" i="19"/>
  <c r="M77" i="18"/>
  <c r="O7" i="19"/>
  <c r="N17" i="18"/>
  <c r="R7" i="19"/>
  <c r="Q17" i="18"/>
  <c r="P7" i="19"/>
  <c r="O17" i="18"/>
  <c r="X50" i="18"/>
  <c r="Q57" i="18" s="1"/>
  <c r="Q58" i="18" s="1"/>
  <c r="R36" i="19" s="1"/>
  <c r="AD50" i="18"/>
  <c r="Q43" i="18" s="1"/>
  <c r="R24" i="19" s="1"/>
  <c r="N8" i="19"/>
  <c r="Q7" i="19"/>
  <c r="P17" i="18"/>
  <c r="N7" i="19"/>
  <c r="K14" i="18"/>
  <c r="K11" i="18" s="1"/>
  <c r="M17" i="18"/>
  <c r="AC50" i="18"/>
  <c r="P43" i="18" s="1"/>
  <c r="Q24" i="19" s="1"/>
  <c r="W50" i="18"/>
  <c r="P57" i="18" s="1"/>
  <c r="P58" i="18" s="1"/>
  <c r="Q36" i="19" s="1"/>
  <c r="N15" i="18"/>
  <c r="N16" i="18" s="1"/>
  <c r="N43" i="19"/>
  <c r="O15" i="18"/>
  <c r="O16" i="18" s="1"/>
  <c r="P15" i="16"/>
  <c r="Q8" i="17" s="1"/>
  <c r="P67" i="16"/>
  <c r="Q23" i="17" s="1"/>
  <c r="R7" i="17"/>
  <c r="Q17" i="16"/>
  <c r="R8" i="17"/>
  <c r="R29" i="17" s="1"/>
  <c r="R37" i="17"/>
  <c r="R40" i="17" s="1"/>
  <c r="Q77" i="16"/>
  <c r="Q7" i="17"/>
  <c r="P17" i="16"/>
  <c r="P18" i="16" s="1"/>
  <c r="Q10" i="17" s="1"/>
  <c r="N43" i="17"/>
  <c r="P43" i="17"/>
  <c r="K9" i="16"/>
  <c r="N13" i="16"/>
  <c r="M14" i="16"/>
  <c r="O14" i="16"/>
  <c r="O43" i="17"/>
  <c r="K8" i="16"/>
  <c r="Q13" i="16"/>
  <c r="N14" i="16"/>
  <c r="P13" i="16"/>
  <c r="Q79" i="16"/>
  <c r="Q43" i="17"/>
  <c r="O38" i="17"/>
  <c r="R43" i="17"/>
  <c r="M23" i="26" l="1"/>
  <c r="M22" i="26"/>
  <c r="N9" i="27"/>
  <c r="P37" i="29"/>
  <c r="P40" i="29" s="1"/>
  <c r="O9" i="29"/>
  <c r="M53" i="26"/>
  <c r="N39" i="51"/>
  <c r="N8" i="27"/>
  <c r="N22" i="28"/>
  <c r="O12" i="29" s="1"/>
  <c r="Q23" i="26"/>
  <c r="R13" i="27" s="1"/>
  <c r="R66" i="27" s="1"/>
  <c r="P16" i="16"/>
  <c r="N23" i="28"/>
  <c r="O13" i="29" s="1"/>
  <c r="N39" i="35"/>
  <c r="T33" i="3" s="1"/>
  <c r="O39" i="35"/>
  <c r="U33" i="3" s="1"/>
  <c r="O39" i="51"/>
  <c r="O67" i="26"/>
  <c r="P23" i="27" s="1"/>
  <c r="O62" i="26"/>
  <c r="N67" i="26"/>
  <c r="O23" i="27" s="1"/>
  <c r="N62" i="26"/>
  <c r="Q57" i="22"/>
  <c r="Q58" i="22" s="1"/>
  <c r="R36" i="23" s="1"/>
  <c r="Q22" i="26"/>
  <c r="R12" i="27" s="1"/>
  <c r="R59" i="27" s="1"/>
  <c r="R60" i="27" s="1"/>
  <c r="Q43" i="22"/>
  <c r="R24" i="23" s="1"/>
  <c r="K39" i="28"/>
  <c r="K37" i="28"/>
  <c r="M7" i="29"/>
  <c r="N6" i="3" s="1"/>
  <c r="K38" i="28"/>
  <c r="K36" i="28"/>
  <c r="R9" i="29"/>
  <c r="Q23" i="28"/>
  <c r="R13" i="29" s="1"/>
  <c r="Q22" i="28"/>
  <c r="R12" i="29" s="1"/>
  <c r="N8" i="29"/>
  <c r="K15" i="28"/>
  <c r="M8" i="29" s="1"/>
  <c r="N7" i="3" s="1"/>
  <c r="M16" i="28"/>
  <c r="N9" i="29"/>
  <c r="M23" i="28"/>
  <c r="M22" i="28"/>
  <c r="K17" i="28"/>
  <c r="M9" i="29" s="1"/>
  <c r="N8" i="3" s="1"/>
  <c r="M18" i="28"/>
  <c r="K10" i="28"/>
  <c r="W66" i="28" s="1"/>
  <c r="P9" i="29"/>
  <c r="O23" i="28"/>
  <c r="P13" i="29" s="1"/>
  <c r="O22" i="28"/>
  <c r="P12" i="29" s="1"/>
  <c r="P22" i="28"/>
  <c r="Q12" i="29" s="1"/>
  <c r="Q9" i="29"/>
  <c r="P23" i="28"/>
  <c r="Q13" i="29" s="1"/>
  <c r="M16" i="26"/>
  <c r="N53" i="22"/>
  <c r="N62" i="22"/>
  <c r="K17" i="20"/>
  <c r="M9" i="21" s="1"/>
  <c r="H8" i="3" s="1"/>
  <c r="M53" i="22"/>
  <c r="O62" i="22"/>
  <c r="V62" i="22" s="1"/>
  <c r="O59" i="22" s="1"/>
  <c r="P25" i="23" s="1"/>
  <c r="O53" i="22"/>
  <c r="K17" i="26"/>
  <c r="M9" i="27" s="1"/>
  <c r="M8" i="3" s="1"/>
  <c r="P77" i="26"/>
  <c r="Q37" i="27"/>
  <c r="K15" i="26"/>
  <c r="M8" i="27" s="1"/>
  <c r="M7" i="3" s="1"/>
  <c r="R62" i="27"/>
  <c r="P8" i="27"/>
  <c r="O53" i="26"/>
  <c r="O16" i="26"/>
  <c r="N12" i="27"/>
  <c r="R64" i="27"/>
  <c r="R57" i="27"/>
  <c r="N13" i="27"/>
  <c r="M7" i="27"/>
  <c r="M6" i="3" s="1"/>
  <c r="K38" i="26"/>
  <c r="K36" i="26"/>
  <c r="K39" i="26"/>
  <c r="K37" i="26"/>
  <c r="O9" i="27"/>
  <c r="N23" i="26"/>
  <c r="O13" i="27" s="1"/>
  <c r="N22" i="26"/>
  <c r="O12" i="27" s="1"/>
  <c r="N18" i="26"/>
  <c r="O10" i="27" s="1"/>
  <c r="Q9" i="27"/>
  <c r="P23" i="26"/>
  <c r="Q13" i="27" s="1"/>
  <c r="P22" i="26"/>
  <c r="Q12" i="27" s="1"/>
  <c r="N10" i="27"/>
  <c r="O8" i="27"/>
  <c r="N53" i="26"/>
  <c r="N16" i="26"/>
  <c r="O18" i="26"/>
  <c r="P10" i="27" s="1"/>
  <c r="P9" i="27"/>
  <c r="O23" i="26"/>
  <c r="P13" i="27" s="1"/>
  <c r="O22" i="26"/>
  <c r="P12" i="27" s="1"/>
  <c r="K13" i="26"/>
  <c r="K10" i="26"/>
  <c r="W66" i="26" s="1"/>
  <c r="K11" i="26"/>
  <c r="O77" i="24"/>
  <c r="P37" i="25"/>
  <c r="J53" i="24"/>
  <c r="K13" i="24"/>
  <c r="K12" i="24"/>
  <c r="J62" i="24"/>
  <c r="P9" i="25"/>
  <c r="O23" i="24"/>
  <c r="P13" i="25" s="1"/>
  <c r="O22" i="24"/>
  <c r="P12" i="25" s="1"/>
  <c r="Q66" i="25"/>
  <c r="Q62" i="25"/>
  <c r="Q34" i="25"/>
  <c r="N9" i="25"/>
  <c r="M23" i="24"/>
  <c r="M22" i="24"/>
  <c r="K17" i="24"/>
  <c r="M9" i="25" s="1"/>
  <c r="L8" i="3" s="1"/>
  <c r="M18" i="24"/>
  <c r="K10" i="24"/>
  <c r="W66" i="24" s="1"/>
  <c r="M37" i="25"/>
  <c r="L31" i="3" s="1"/>
  <c r="K77" i="24"/>
  <c r="Q65" i="25"/>
  <c r="Q61" i="25"/>
  <c r="Q53" i="25"/>
  <c r="Q59" i="25"/>
  <c r="Q60" i="25" s="1"/>
  <c r="Q50" i="25"/>
  <c r="Q33" i="25"/>
  <c r="Q64" i="25"/>
  <c r="Q57" i="25"/>
  <c r="K39" i="24"/>
  <c r="K37" i="24"/>
  <c r="M7" i="25"/>
  <c r="L6" i="3" s="1"/>
  <c r="K38" i="24"/>
  <c r="K36" i="24"/>
  <c r="R9" i="25"/>
  <c r="Q23" i="24"/>
  <c r="R13" i="25" s="1"/>
  <c r="Q22" i="24"/>
  <c r="R12" i="25" s="1"/>
  <c r="K15" i="22"/>
  <c r="M8" i="23" s="1"/>
  <c r="K7" i="3" s="1"/>
  <c r="N8" i="23"/>
  <c r="M16" i="22"/>
  <c r="K11" i="22"/>
  <c r="R9" i="23"/>
  <c r="Q23" i="22"/>
  <c r="R13" i="23" s="1"/>
  <c r="Q22" i="22"/>
  <c r="R12" i="23" s="1"/>
  <c r="O23" i="22"/>
  <c r="P13" i="23" s="1"/>
  <c r="O22" i="22"/>
  <c r="P12" i="23" s="1"/>
  <c r="P9" i="23"/>
  <c r="O18" i="22"/>
  <c r="P10" i="23" s="1"/>
  <c r="O9" i="23"/>
  <c r="N18" i="22"/>
  <c r="O10" i="23" s="1"/>
  <c r="N23" i="22"/>
  <c r="O13" i="23" s="1"/>
  <c r="N22" i="22"/>
  <c r="O12" i="23" s="1"/>
  <c r="M7" i="23"/>
  <c r="K6" i="3" s="1"/>
  <c r="K39" i="22"/>
  <c r="K37" i="22"/>
  <c r="K38" i="22"/>
  <c r="K36" i="22"/>
  <c r="P8" i="23"/>
  <c r="O16" i="22"/>
  <c r="N9" i="23"/>
  <c r="M23" i="22"/>
  <c r="M22" i="22"/>
  <c r="K17" i="22"/>
  <c r="M9" i="23" s="1"/>
  <c r="K8" i="3" s="1"/>
  <c r="M18" i="22"/>
  <c r="K10" i="22"/>
  <c r="W66" i="22" s="1"/>
  <c r="Q9" i="23"/>
  <c r="P23" i="22"/>
  <c r="Q13" i="23" s="1"/>
  <c r="P22" i="22"/>
  <c r="Q12" i="23" s="1"/>
  <c r="O8" i="23"/>
  <c r="N16" i="22"/>
  <c r="Q37" i="21"/>
  <c r="P77" i="20"/>
  <c r="N10" i="21"/>
  <c r="N12" i="21"/>
  <c r="R66" i="21"/>
  <c r="R62" i="21"/>
  <c r="R34" i="21"/>
  <c r="O8" i="21"/>
  <c r="N16" i="20"/>
  <c r="K15" i="20"/>
  <c r="M8" i="21" s="1"/>
  <c r="H7" i="3" s="1"/>
  <c r="P9" i="21"/>
  <c r="O23" i="20"/>
  <c r="P13" i="21" s="1"/>
  <c r="O22" i="20"/>
  <c r="P12" i="21" s="1"/>
  <c r="O18" i="20"/>
  <c r="P10" i="21" s="1"/>
  <c r="Q9" i="21"/>
  <c r="P22" i="20"/>
  <c r="Q12" i="21" s="1"/>
  <c r="P23" i="20"/>
  <c r="Q13" i="21" s="1"/>
  <c r="M7" i="21"/>
  <c r="H6" i="3" s="1"/>
  <c r="K39" i="20"/>
  <c r="K37" i="20"/>
  <c r="K38" i="20"/>
  <c r="K36" i="20"/>
  <c r="N13" i="21"/>
  <c r="R59" i="21"/>
  <c r="R60" i="21" s="1"/>
  <c r="R65" i="21"/>
  <c r="R61" i="21"/>
  <c r="R53" i="21"/>
  <c r="R50" i="21"/>
  <c r="R33" i="21"/>
  <c r="R64" i="21"/>
  <c r="R57" i="21"/>
  <c r="P8" i="21"/>
  <c r="O16" i="20"/>
  <c r="O9" i="21"/>
  <c r="N23" i="20"/>
  <c r="O13" i="21" s="1"/>
  <c r="N22" i="20"/>
  <c r="O12" i="21" s="1"/>
  <c r="N18" i="20"/>
  <c r="O10" i="21" s="1"/>
  <c r="K11" i="20"/>
  <c r="O77" i="18"/>
  <c r="P37" i="19"/>
  <c r="O37" i="19"/>
  <c r="N77" i="18"/>
  <c r="K16" i="18"/>
  <c r="P8" i="19"/>
  <c r="M7" i="19"/>
  <c r="G6" i="3" s="1"/>
  <c r="K39" i="18"/>
  <c r="K37" i="18"/>
  <c r="K38" i="18"/>
  <c r="K36" i="18"/>
  <c r="O23" i="18"/>
  <c r="P13" i="19" s="1"/>
  <c r="O22" i="18"/>
  <c r="P12" i="19" s="1"/>
  <c r="P9" i="19"/>
  <c r="O18" i="18"/>
  <c r="P10" i="19" s="1"/>
  <c r="O8" i="19"/>
  <c r="N9" i="19"/>
  <c r="M23" i="18"/>
  <c r="M22" i="18"/>
  <c r="K17" i="18"/>
  <c r="M9" i="19" s="1"/>
  <c r="G8" i="3" s="1"/>
  <c r="M18" i="18"/>
  <c r="K10" i="18"/>
  <c r="W66" i="18" s="1"/>
  <c r="Q9" i="19"/>
  <c r="P23" i="18"/>
  <c r="Q13" i="19" s="1"/>
  <c r="P22" i="18"/>
  <c r="Q12" i="19" s="1"/>
  <c r="K15" i="18"/>
  <c r="M8" i="19" s="1"/>
  <c r="G7" i="3" s="1"/>
  <c r="R9" i="19"/>
  <c r="Q23" i="18"/>
  <c r="R13" i="19" s="1"/>
  <c r="Q22" i="18"/>
  <c r="R12" i="19" s="1"/>
  <c r="O9" i="19"/>
  <c r="N23" i="18"/>
  <c r="O13" i="19" s="1"/>
  <c r="N22" i="18"/>
  <c r="O12" i="19" s="1"/>
  <c r="N18" i="18"/>
  <c r="O10" i="19" s="1"/>
  <c r="O7" i="17"/>
  <c r="N17" i="16"/>
  <c r="N7" i="17"/>
  <c r="K14" i="16"/>
  <c r="M17" i="16"/>
  <c r="N15" i="16"/>
  <c r="N16" i="16" s="1"/>
  <c r="M15" i="16"/>
  <c r="P7" i="17"/>
  <c r="O17" i="16"/>
  <c r="Q9" i="17"/>
  <c r="P23" i="16"/>
  <c r="Q13" i="17" s="1"/>
  <c r="P22" i="16"/>
  <c r="Q12" i="17" s="1"/>
  <c r="AD50" i="16"/>
  <c r="Q43" i="16" s="1"/>
  <c r="R24" i="17" s="1"/>
  <c r="X50" i="16"/>
  <c r="Q57" i="16" s="1"/>
  <c r="Q58" i="16" s="1"/>
  <c r="R36" i="17" s="1"/>
  <c r="O15" i="16"/>
  <c r="O16" i="16" s="1"/>
  <c r="R9" i="17"/>
  <c r="Q23" i="16"/>
  <c r="R13" i="17" s="1"/>
  <c r="Q22" i="16"/>
  <c r="R12" i="17" s="1"/>
  <c r="R33" i="27" l="1"/>
  <c r="R61" i="27"/>
  <c r="R50" i="27"/>
  <c r="K20" i="20"/>
  <c r="J53" i="26"/>
  <c r="R53" i="27"/>
  <c r="R65" i="27"/>
  <c r="R34" i="27"/>
  <c r="K20" i="26"/>
  <c r="K21" i="20"/>
  <c r="Q37" i="17"/>
  <c r="Q40" i="17" s="1"/>
  <c r="P79" i="16"/>
  <c r="P77" i="16"/>
  <c r="P37" i="17"/>
  <c r="P40" i="17" s="1"/>
  <c r="O77" i="16"/>
  <c r="O79" i="16"/>
  <c r="O37" i="17"/>
  <c r="O40" i="17" s="1"/>
  <c r="N79" i="16"/>
  <c r="N77" i="16"/>
  <c r="M16" i="16"/>
  <c r="K12" i="26"/>
  <c r="O29" i="51"/>
  <c r="N29" i="51"/>
  <c r="M29" i="51"/>
  <c r="K13" i="28"/>
  <c r="K12" i="28"/>
  <c r="Q66" i="29"/>
  <c r="Q62" i="29"/>
  <c r="Q34" i="29"/>
  <c r="Q65" i="29"/>
  <c r="Q61" i="29"/>
  <c r="Q53" i="29"/>
  <c r="Q59" i="29"/>
  <c r="Q60" i="29" s="1"/>
  <c r="Q50" i="29"/>
  <c r="Q33" i="29"/>
  <c r="P66" i="29"/>
  <c r="P62" i="29"/>
  <c r="P34" i="29"/>
  <c r="K20" i="28"/>
  <c r="N13" i="29"/>
  <c r="K23" i="28"/>
  <c r="M13" i="29" s="1"/>
  <c r="N12" i="3" s="1"/>
  <c r="N37" i="29"/>
  <c r="N40" i="29" s="1"/>
  <c r="M40" i="29" s="1"/>
  <c r="N33" i="3" s="1"/>
  <c r="M77" i="28"/>
  <c r="K16" i="28"/>
  <c r="M79" i="28"/>
  <c r="K79" i="28" s="1"/>
  <c r="T53" i="28"/>
  <c r="J53" i="28"/>
  <c r="Z53" i="28"/>
  <c r="R66" i="29"/>
  <c r="R62" i="29"/>
  <c r="R34" i="29"/>
  <c r="Q64" i="29"/>
  <c r="Q57" i="29"/>
  <c r="P59" i="29"/>
  <c r="P60" i="29" s="1"/>
  <c r="P50" i="29"/>
  <c r="P65" i="29"/>
  <c r="P61" i="29"/>
  <c r="P53" i="29"/>
  <c r="P33" i="29"/>
  <c r="P64" i="29"/>
  <c r="P57" i="29"/>
  <c r="N10" i="29"/>
  <c r="K18" i="28"/>
  <c r="M10" i="29" s="1"/>
  <c r="N9" i="3" s="1"/>
  <c r="K21" i="28"/>
  <c r="N12" i="29"/>
  <c r="K22" i="28"/>
  <c r="M12" i="29" s="1"/>
  <c r="N11" i="3" s="1"/>
  <c r="J62" i="28"/>
  <c r="T62" i="28"/>
  <c r="M59" i="28" s="1"/>
  <c r="N25" i="29" s="1"/>
  <c r="R59" i="29"/>
  <c r="R60" i="29" s="1"/>
  <c r="R50" i="29"/>
  <c r="R65" i="29"/>
  <c r="R61" i="29"/>
  <c r="R53" i="29"/>
  <c r="R33" i="29"/>
  <c r="R64" i="29"/>
  <c r="R57" i="29"/>
  <c r="K21" i="26"/>
  <c r="N37" i="27"/>
  <c r="M77" i="26"/>
  <c r="J53" i="22"/>
  <c r="AB53" i="22"/>
  <c r="V53" i="22"/>
  <c r="J62" i="22"/>
  <c r="J62" i="26"/>
  <c r="O37" i="27"/>
  <c r="N77" i="26"/>
  <c r="K16" i="26"/>
  <c r="K18" i="26"/>
  <c r="M10" i="27" s="1"/>
  <c r="M9" i="3" s="1"/>
  <c r="K22" i="26"/>
  <c r="M12" i="27" s="1"/>
  <c r="M11" i="3" s="1"/>
  <c r="P37" i="27"/>
  <c r="O77" i="26"/>
  <c r="K23" i="26"/>
  <c r="M13" i="27" s="1"/>
  <c r="M12" i="3" s="1"/>
  <c r="R59" i="25"/>
  <c r="R60" i="25" s="1"/>
  <c r="R50" i="25"/>
  <c r="R65" i="25"/>
  <c r="R61" i="25"/>
  <c r="R53" i="25"/>
  <c r="R33" i="25"/>
  <c r="R64" i="25"/>
  <c r="R57" i="25"/>
  <c r="K21" i="24"/>
  <c r="K20" i="24"/>
  <c r="N13" i="25"/>
  <c r="K23" i="24"/>
  <c r="M13" i="25" s="1"/>
  <c r="L12" i="3" s="1"/>
  <c r="R66" i="25"/>
  <c r="R62" i="25"/>
  <c r="R34" i="25"/>
  <c r="N10" i="25"/>
  <c r="K18" i="24"/>
  <c r="M10" i="25" s="1"/>
  <c r="L9" i="3" s="1"/>
  <c r="N12" i="25"/>
  <c r="K22" i="24"/>
  <c r="M12" i="25" s="1"/>
  <c r="L11" i="3" s="1"/>
  <c r="K13" i="22"/>
  <c r="K12" i="22"/>
  <c r="O37" i="23"/>
  <c r="N77" i="22"/>
  <c r="Q65" i="23"/>
  <c r="Q61" i="23"/>
  <c r="Q53" i="23"/>
  <c r="Q59" i="23"/>
  <c r="Q60" i="23" s="1"/>
  <c r="Q50" i="23"/>
  <c r="Q33" i="23"/>
  <c r="Q64" i="23"/>
  <c r="Q57" i="23"/>
  <c r="K21" i="22"/>
  <c r="K20" i="22"/>
  <c r="N13" i="23"/>
  <c r="K23" i="22"/>
  <c r="M13" i="23" s="1"/>
  <c r="K12" i="3" s="1"/>
  <c r="P37" i="23"/>
  <c r="P40" i="23" s="1"/>
  <c r="O77" i="22"/>
  <c r="O79" i="22"/>
  <c r="R66" i="23"/>
  <c r="R62" i="23"/>
  <c r="R34" i="23"/>
  <c r="Q66" i="23"/>
  <c r="Q62" i="23"/>
  <c r="Q34" i="23"/>
  <c r="K18" i="22"/>
  <c r="M10" i="23" s="1"/>
  <c r="K9" i="3" s="1"/>
  <c r="N10" i="23"/>
  <c r="N12" i="23"/>
  <c r="K22" i="22"/>
  <c r="M12" i="23" s="1"/>
  <c r="K11" i="3" s="1"/>
  <c r="V50" i="22"/>
  <c r="AB50" i="22"/>
  <c r="R59" i="23"/>
  <c r="R60" i="23" s="1"/>
  <c r="R50" i="23"/>
  <c r="R65" i="23"/>
  <c r="R61" i="23"/>
  <c r="R53" i="23"/>
  <c r="R33" i="23"/>
  <c r="R64" i="23"/>
  <c r="R57" i="23"/>
  <c r="N37" i="23"/>
  <c r="K16" i="22"/>
  <c r="M77" i="22"/>
  <c r="J50" i="22"/>
  <c r="K12" i="20"/>
  <c r="K18" i="20"/>
  <c r="M10" i="21" s="1"/>
  <c r="H9" i="3" s="1"/>
  <c r="P37" i="21"/>
  <c r="O77" i="20"/>
  <c r="O37" i="21"/>
  <c r="N77" i="20"/>
  <c r="K16" i="20"/>
  <c r="K22" i="20"/>
  <c r="M12" i="21" s="1"/>
  <c r="H11" i="3" s="1"/>
  <c r="K23" i="20"/>
  <c r="M13" i="21" s="1"/>
  <c r="H12" i="3" s="1"/>
  <c r="K13" i="20"/>
  <c r="J50" i="20"/>
  <c r="K77" i="18"/>
  <c r="M37" i="19"/>
  <c r="G31" i="3" s="1"/>
  <c r="R59" i="19"/>
  <c r="R60" i="19" s="1"/>
  <c r="R50" i="19"/>
  <c r="R65" i="19"/>
  <c r="R61" i="19"/>
  <c r="R53" i="19"/>
  <c r="R33" i="19"/>
  <c r="R64" i="19"/>
  <c r="R57" i="19"/>
  <c r="Q65" i="19"/>
  <c r="Q61" i="19"/>
  <c r="Q53" i="19"/>
  <c r="Q59" i="19"/>
  <c r="Q60" i="19" s="1"/>
  <c r="Q50" i="19"/>
  <c r="Q33" i="19"/>
  <c r="Q64" i="19"/>
  <c r="Q57" i="19"/>
  <c r="K18" i="18"/>
  <c r="M10" i="19" s="1"/>
  <c r="G9" i="3" s="1"/>
  <c r="N10" i="19"/>
  <c r="N12" i="19"/>
  <c r="K22" i="18"/>
  <c r="M12" i="19" s="1"/>
  <c r="G11" i="3" s="1"/>
  <c r="R66" i="19"/>
  <c r="R62" i="19"/>
  <c r="R34" i="19"/>
  <c r="J50" i="18"/>
  <c r="K13" i="18"/>
  <c r="Q66" i="19"/>
  <c r="Q62" i="19"/>
  <c r="Q34" i="19"/>
  <c r="K21" i="18"/>
  <c r="K20" i="18"/>
  <c r="K23" i="18"/>
  <c r="M13" i="19" s="1"/>
  <c r="G12" i="3" s="1"/>
  <c r="N13" i="19"/>
  <c r="K12" i="18"/>
  <c r="R66" i="17"/>
  <c r="R62" i="17"/>
  <c r="R34" i="17"/>
  <c r="P8" i="17"/>
  <c r="P9" i="17"/>
  <c r="O23" i="16"/>
  <c r="P13" i="17" s="1"/>
  <c r="O22" i="16"/>
  <c r="P12" i="17" s="1"/>
  <c r="O18" i="16"/>
  <c r="P10" i="17" s="1"/>
  <c r="N8" i="17"/>
  <c r="K15" i="16"/>
  <c r="M8" i="17" s="1"/>
  <c r="F7" i="3" s="1"/>
  <c r="K11" i="16"/>
  <c r="K10" i="16"/>
  <c r="W66" i="16" s="1"/>
  <c r="R59" i="17"/>
  <c r="R60" i="17" s="1"/>
  <c r="R50" i="17"/>
  <c r="R65" i="17"/>
  <c r="R61" i="17"/>
  <c r="R53" i="17"/>
  <c r="R33" i="17"/>
  <c r="R64" i="17"/>
  <c r="R57" i="17"/>
  <c r="O8" i="17"/>
  <c r="N9" i="17"/>
  <c r="M23" i="16"/>
  <c r="M22" i="16"/>
  <c r="K17" i="16"/>
  <c r="M9" i="17" s="1"/>
  <c r="F8" i="3" s="1"/>
  <c r="M18" i="16"/>
  <c r="K38" i="16"/>
  <c r="K36" i="16"/>
  <c r="M7" i="17"/>
  <c r="F6" i="3" s="1"/>
  <c r="K39" i="16"/>
  <c r="K37" i="16"/>
  <c r="O9" i="17"/>
  <c r="N22" i="16"/>
  <c r="O12" i="17" s="1"/>
  <c r="N23" i="16"/>
  <c r="O13" i="17" s="1"/>
  <c r="N18" i="16"/>
  <c r="O10" i="17" s="1"/>
  <c r="O57" i="22" l="1"/>
  <c r="O58" i="22" s="1"/>
  <c r="P36" i="23" s="1"/>
  <c r="O43" i="22"/>
  <c r="P24" i="23" s="1"/>
  <c r="M77" i="16"/>
  <c r="M79" i="16"/>
  <c r="K79" i="16" s="1"/>
  <c r="N37" i="17"/>
  <c r="N40" i="17" s="1"/>
  <c r="M40" i="17" s="1"/>
  <c r="F33" i="3" s="1"/>
  <c r="K16" i="16"/>
  <c r="O34" i="51"/>
  <c r="O33" i="51"/>
  <c r="M57" i="51"/>
  <c r="M55" i="51"/>
  <c r="M53" i="51"/>
  <c r="M56" i="51"/>
  <c r="M34" i="51"/>
  <c r="M33" i="51"/>
  <c r="N34" i="51"/>
  <c r="N33" i="51"/>
  <c r="M37" i="29"/>
  <c r="N31" i="3" s="1"/>
  <c r="K77" i="28"/>
  <c r="K13" i="16"/>
  <c r="K12" i="16"/>
  <c r="M37" i="27"/>
  <c r="M31" i="3" s="1"/>
  <c r="K77" i="26"/>
  <c r="M37" i="23"/>
  <c r="K31" i="3" s="1"/>
  <c r="K77" i="22"/>
  <c r="M37" i="21"/>
  <c r="H31" i="3" s="1"/>
  <c r="K77" i="20"/>
  <c r="K21" i="16"/>
  <c r="N10" i="17"/>
  <c r="K18" i="16"/>
  <c r="M10" i="17" s="1"/>
  <c r="F9" i="3" s="1"/>
  <c r="N12" i="17"/>
  <c r="K22" i="16"/>
  <c r="M12" i="17" s="1"/>
  <c r="F11" i="3" s="1"/>
  <c r="J50" i="16"/>
  <c r="K20" i="16"/>
  <c r="N13" i="17"/>
  <c r="K23" i="16"/>
  <c r="M13" i="17" s="1"/>
  <c r="F12" i="3" s="1"/>
  <c r="K77" i="16" l="1"/>
  <c r="M37" i="17"/>
  <c r="F31" i="3" s="1"/>
  <c r="M55" i="35"/>
  <c r="S48" i="3" s="1"/>
  <c r="N57" i="51"/>
  <c r="N56" i="51"/>
  <c r="N53" i="51"/>
  <c r="N55" i="51"/>
  <c r="M63" i="51"/>
  <c r="M61" i="51"/>
  <c r="O57" i="51"/>
  <c r="O55" i="51"/>
  <c r="O53" i="51"/>
  <c r="O56" i="51"/>
  <c r="O55" i="35" l="1"/>
  <c r="U48" i="3" s="1"/>
  <c r="N55" i="35"/>
  <c r="T48" i="3" s="1"/>
  <c r="O63" i="51"/>
  <c r="O61" i="51"/>
  <c r="N63" i="51"/>
  <c r="N61" i="51"/>
  <c r="P29" i="23" l="1"/>
  <c r="P34" i="23" l="1"/>
  <c r="P33" i="23"/>
  <c r="P50" i="23" l="1"/>
  <c r="P56" i="23"/>
  <c r="P61" i="23"/>
  <c r="P57" i="23"/>
  <c r="P62" i="23"/>
  <c r="P59" i="23"/>
  <c r="P60" i="23" s="1"/>
  <c r="P64" i="23" l="1"/>
  <c r="P66" i="23"/>
  <c r="P65" i="23"/>
  <c r="A43" i="9" l="1"/>
  <c r="A44" i="9" s="1"/>
  <c r="A45" i="9" s="1"/>
  <c r="A46" i="9" s="1"/>
  <c r="A47" i="9" s="1"/>
  <c r="A48" i="9" s="1"/>
  <c r="A49" i="9" s="1"/>
  <c r="A50" i="9" s="1"/>
  <c r="C31" i="8"/>
  <c r="C32" i="8" s="1"/>
  <c r="C33" i="8" s="1"/>
  <c r="C34" i="8" s="1"/>
  <c r="C35" i="8" s="1"/>
  <c r="C36" i="8" s="1"/>
  <c r="C37" i="8" s="1"/>
  <c r="C30" i="8"/>
  <c r="A55" i="9" l="1"/>
  <c r="A56" i="9" s="1"/>
  <c r="A57" i="9" s="1"/>
  <c r="A58" i="9" s="1"/>
  <c r="A59" i="9" s="1"/>
  <c r="A60" i="9" s="1"/>
  <c r="A61" i="9" s="1"/>
  <c r="A51" i="9"/>
  <c r="A52" i="9" s="1"/>
  <c r="A53" i="9" s="1"/>
  <c r="A54" i="9" s="1"/>
  <c r="E54" i="10"/>
  <c r="M61" i="9"/>
  <c r="J60" i="9"/>
  <c r="M60" i="9" s="1"/>
  <c r="I68" i="42" l="1"/>
  <c r="I69" i="26"/>
  <c r="K21" i="13"/>
  <c r="F22" i="9"/>
  <c r="L68" i="42" l="1"/>
  <c r="L67" i="42" s="1"/>
  <c r="M23" i="43" s="1"/>
  <c r="N68" i="42"/>
  <c r="N67" i="42" s="1"/>
  <c r="N23" i="43" s="1"/>
  <c r="P68" i="42"/>
  <c r="P67" i="42" s="1"/>
  <c r="O23" i="43" s="1"/>
  <c r="M69" i="26"/>
  <c r="Q69" i="26"/>
  <c r="Q67" i="26" s="1"/>
  <c r="R23" i="27" s="1"/>
  <c r="P69" i="26"/>
  <c r="P67" i="26" s="1"/>
  <c r="Q23" i="27" s="1"/>
  <c r="M67" i="14"/>
  <c r="J52" i="14"/>
  <c r="J53" i="14"/>
  <c r="J54" i="14"/>
  <c r="J55" i="14"/>
  <c r="AG20" i="3" l="1"/>
  <c r="L69" i="26"/>
  <c r="L67" i="26" s="1"/>
  <c r="M23" i="27" s="1"/>
  <c r="M20" i="3" s="1"/>
  <c r="M67" i="26"/>
  <c r="N23" i="27" s="1"/>
  <c r="AF20" i="3"/>
  <c r="AE20" i="3"/>
  <c r="T13" i="14"/>
  <c r="Q5" i="14" s="1"/>
  <c r="T12" i="14"/>
  <c r="T11" i="14"/>
  <c r="T10" i="14"/>
  <c r="T9" i="14"/>
  <c r="T8" i="14"/>
  <c r="T7" i="14"/>
  <c r="T6" i="14"/>
  <c r="O5" i="14" s="1"/>
  <c r="T5" i="14"/>
  <c r="T4" i="14"/>
  <c r="M24" i="10"/>
  <c r="N5" i="14" l="1"/>
  <c r="P5" i="14"/>
  <c r="M5" i="14"/>
  <c r="N5" i="15" s="1"/>
  <c r="J46" i="14"/>
  <c r="G77" i="10"/>
  <c r="G76" i="10"/>
  <c r="L75" i="10"/>
  <c r="K75" i="10"/>
  <c r="G75" i="10"/>
  <c r="E75" i="10"/>
  <c r="K74" i="10"/>
  <c r="G74" i="10"/>
  <c r="G73" i="10"/>
  <c r="K72" i="10"/>
  <c r="G72" i="10"/>
  <c r="G71" i="10"/>
  <c r="G70" i="10"/>
  <c r="G69" i="10"/>
  <c r="K68" i="10"/>
  <c r="G68" i="10"/>
  <c r="G67" i="10"/>
  <c r="G66" i="10"/>
  <c r="G65" i="10"/>
  <c r="G64" i="10"/>
  <c r="E64" i="10"/>
  <c r="K63" i="10"/>
  <c r="G63" i="10"/>
  <c r="G62" i="10"/>
  <c r="G61" i="10"/>
  <c r="E61" i="10"/>
  <c r="G60" i="10"/>
  <c r="K59" i="10"/>
  <c r="G59" i="10"/>
  <c r="G58" i="10"/>
  <c r="G57" i="10"/>
  <c r="G56" i="10"/>
  <c r="G55" i="10"/>
  <c r="G54" i="10"/>
  <c r="G53" i="10"/>
  <c r="G52" i="10"/>
  <c r="G51" i="10"/>
  <c r="K50" i="10"/>
  <c r="G50" i="10"/>
  <c r="K49" i="10"/>
  <c r="G49" i="10"/>
  <c r="K48" i="10"/>
  <c r="G48" i="10"/>
  <c r="G46" i="10"/>
  <c r="G45" i="10"/>
  <c r="G44" i="10"/>
  <c r="G43" i="10"/>
  <c r="K42" i="10"/>
  <c r="G42" i="10"/>
  <c r="G41" i="10"/>
  <c r="G40" i="10"/>
  <c r="G39" i="10"/>
  <c r="G38" i="10"/>
  <c r="G37" i="10"/>
  <c r="G36" i="10"/>
  <c r="G35" i="10"/>
  <c r="G34" i="10"/>
  <c r="G33" i="10"/>
  <c r="G32" i="10"/>
  <c r="G31" i="10"/>
  <c r="G30" i="10"/>
  <c r="G29" i="10"/>
  <c r="G28" i="10"/>
  <c r="G27" i="10"/>
  <c r="G78" i="10"/>
  <c r="F42" i="12"/>
  <c r="F41" i="12"/>
  <c r="F40" i="12"/>
  <c r="F39" i="12"/>
  <c r="F38" i="12"/>
  <c r="F37" i="12"/>
  <c r="F36" i="12"/>
  <c r="F35" i="12"/>
  <c r="F34" i="12"/>
  <c r="F33" i="12"/>
  <c r="F31" i="12"/>
  <c r="F30" i="12"/>
  <c r="F29" i="12"/>
  <c r="F28" i="12"/>
  <c r="F27" i="12"/>
  <c r="F26" i="12"/>
  <c r="F24" i="12"/>
  <c r="F23" i="12"/>
  <c r="F21" i="12"/>
  <c r="F20" i="12"/>
  <c r="F19" i="12"/>
  <c r="F18" i="12"/>
  <c r="F17" i="12"/>
  <c r="F16" i="12"/>
  <c r="F15" i="12"/>
  <c r="F14" i="12"/>
  <c r="F13" i="12"/>
  <c r="Z6" i="10"/>
  <c r="W6" i="10"/>
  <c r="M6" i="10" s="1"/>
  <c r="B27" i="10"/>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l="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H50" i="30"/>
  <c r="I54" i="42"/>
  <c r="I51" i="40"/>
  <c r="I45" i="40"/>
  <c r="I55" i="42"/>
  <c r="I51" i="42"/>
  <c r="I49" i="42"/>
  <c r="I47" i="42"/>
  <c r="I45" i="42"/>
  <c r="I54" i="40"/>
  <c r="I50" i="40"/>
  <c r="I48" i="40"/>
  <c r="I46" i="40"/>
  <c r="I50" i="42"/>
  <c r="I48" i="42"/>
  <c r="I46" i="42"/>
  <c r="I49" i="40"/>
  <c r="I47" i="40"/>
  <c r="I51" i="46"/>
  <c r="I52" i="46"/>
  <c r="I50" i="46"/>
  <c r="I48" i="46"/>
  <c r="I46" i="46"/>
  <c r="I55" i="46"/>
  <c r="I53" i="46"/>
  <c r="I49" i="46"/>
  <c r="I47" i="46"/>
  <c r="I45" i="46"/>
  <c r="I54" i="48"/>
  <c r="I52" i="48"/>
  <c r="I50" i="48"/>
  <c r="I48" i="48"/>
  <c r="I46" i="48"/>
  <c r="I55" i="48"/>
  <c r="I51" i="48"/>
  <c r="I49" i="48"/>
  <c r="I47" i="48"/>
  <c r="I45" i="48"/>
  <c r="H56" i="30"/>
  <c r="K56" i="30" s="1"/>
  <c r="H55" i="30"/>
  <c r="K55" i="30" s="1"/>
  <c r="H54" i="30"/>
  <c r="K54" i="30" s="1"/>
  <c r="H53" i="30"/>
  <c r="K53" i="30" s="1"/>
  <c r="H49" i="30"/>
  <c r="K49" i="30" s="1"/>
  <c r="H48" i="30"/>
  <c r="H47" i="30"/>
  <c r="H46" i="30"/>
  <c r="K46" i="30" s="1"/>
  <c r="H52" i="30"/>
  <c r="H51" i="30"/>
  <c r="K51" i="30" s="1"/>
  <c r="H56" i="32"/>
  <c r="K56" i="32" s="1"/>
  <c r="H55" i="32"/>
  <c r="K55" i="32" s="1"/>
  <c r="H53" i="32"/>
  <c r="K53" i="32" s="1"/>
  <c r="H50" i="32"/>
  <c r="H48" i="32"/>
  <c r="H54" i="32"/>
  <c r="K54" i="32" s="1"/>
  <c r="H52" i="32"/>
  <c r="H51" i="32"/>
  <c r="K51" i="32" s="1"/>
  <c r="H49" i="32"/>
  <c r="K49" i="32" s="1"/>
  <c r="H47" i="32"/>
  <c r="H46" i="32"/>
  <c r="I55" i="38"/>
  <c r="I53" i="38"/>
  <c r="I51" i="38"/>
  <c r="I49" i="38"/>
  <c r="I47" i="38"/>
  <c r="I45" i="38"/>
  <c r="I54" i="34"/>
  <c r="I52" i="34"/>
  <c r="I50" i="34"/>
  <c r="I48" i="34"/>
  <c r="I46" i="34"/>
  <c r="I55" i="36"/>
  <c r="I53" i="36"/>
  <c r="I51" i="36"/>
  <c r="I49" i="36"/>
  <c r="I47" i="36"/>
  <c r="I45" i="36"/>
  <c r="I54" i="44"/>
  <c r="I48" i="44"/>
  <c r="I54" i="38"/>
  <c r="I52" i="38"/>
  <c r="I50" i="38"/>
  <c r="I48" i="38"/>
  <c r="I46" i="38"/>
  <c r="I55" i="34"/>
  <c r="I53" i="34"/>
  <c r="I51" i="34"/>
  <c r="I49" i="34"/>
  <c r="I47" i="34"/>
  <c r="I45" i="34"/>
  <c r="I54" i="36"/>
  <c r="I52" i="36"/>
  <c r="I50" i="36"/>
  <c r="I48" i="36"/>
  <c r="I46" i="36"/>
  <c r="I55" i="44"/>
  <c r="I53" i="44"/>
  <c r="I51" i="44"/>
  <c r="I49" i="44"/>
  <c r="I47" i="44"/>
  <c r="I45" i="44"/>
  <c r="I52" i="44"/>
  <c r="I50" i="44"/>
  <c r="I46" i="44"/>
  <c r="H47" i="28"/>
  <c r="H46" i="28"/>
  <c r="H54" i="26"/>
  <c r="K54" i="26" s="1"/>
  <c r="H54" i="24"/>
  <c r="K54" i="24" s="1"/>
  <c r="H53" i="22"/>
  <c r="H52" i="22"/>
  <c r="H51" i="22"/>
  <c r="H47" i="22"/>
  <c r="H54" i="20"/>
  <c r="H53" i="20"/>
  <c r="H52" i="20"/>
  <c r="H51" i="20"/>
  <c r="H50" i="18"/>
  <c r="H49" i="18"/>
  <c r="K49" i="18" s="1"/>
  <c r="H48" i="18"/>
  <c r="K48" i="18" s="1"/>
  <c r="H47" i="18"/>
  <c r="H46" i="18"/>
  <c r="H54" i="28"/>
  <c r="K54" i="28" s="1"/>
  <c r="H52" i="28"/>
  <c r="U52" i="28" s="1"/>
  <c r="H51" i="28"/>
  <c r="H50" i="28"/>
  <c r="H49" i="28"/>
  <c r="K49" i="28" s="1"/>
  <c r="H48" i="28"/>
  <c r="H53" i="26"/>
  <c r="H52" i="26"/>
  <c r="H51" i="26"/>
  <c r="H50" i="26"/>
  <c r="H49" i="26"/>
  <c r="K49" i="26" s="1"/>
  <c r="H48" i="26"/>
  <c r="K48" i="26" s="1"/>
  <c r="H47" i="26"/>
  <c r="H46" i="26"/>
  <c r="H53" i="24"/>
  <c r="H52" i="24"/>
  <c r="H51" i="24"/>
  <c r="H50" i="24"/>
  <c r="H49" i="24"/>
  <c r="K49" i="24" s="1"/>
  <c r="H48" i="24"/>
  <c r="K48" i="24" s="1"/>
  <c r="H47" i="24"/>
  <c r="H46" i="24"/>
  <c r="H54" i="22"/>
  <c r="K54" i="22" s="1"/>
  <c r="H50" i="22"/>
  <c r="H49" i="22"/>
  <c r="K49" i="22" s="1"/>
  <c r="H48" i="22"/>
  <c r="K48" i="22" s="1"/>
  <c r="H46" i="22"/>
  <c r="H50" i="20"/>
  <c r="H49" i="20"/>
  <c r="K49" i="20" s="1"/>
  <c r="H48" i="20"/>
  <c r="K48" i="20" s="1"/>
  <c r="H47" i="20"/>
  <c r="H46" i="20"/>
  <c r="H54" i="18"/>
  <c r="H53" i="18"/>
  <c r="H52" i="18"/>
  <c r="H51" i="18"/>
  <c r="H50" i="16"/>
  <c r="H49" i="16"/>
  <c r="K49" i="16" s="1"/>
  <c r="H48" i="16"/>
  <c r="K48" i="16" s="1"/>
  <c r="H47" i="16"/>
  <c r="H46" i="16"/>
  <c r="H52" i="16"/>
  <c r="H51" i="16"/>
  <c r="K51" i="16" s="1"/>
  <c r="H51" i="44"/>
  <c r="H49" i="44"/>
  <c r="G50" i="32"/>
  <c r="H48" i="48"/>
  <c r="H52" i="42"/>
  <c r="H53" i="42"/>
  <c r="H54" i="42"/>
  <c r="H48" i="14"/>
  <c r="H50" i="14"/>
  <c r="H52" i="14"/>
  <c r="H47" i="46"/>
  <c r="H52" i="46"/>
  <c r="H52" i="40"/>
  <c r="H51" i="48"/>
  <c r="H53" i="46"/>
  <c r="H47" i="14"/>
  <c r="H49" i="14"/>
  <c r="H51" i="14"/>
  <c r="H46" i="14"/>
  <c r="H50" i="44"/>
  <c r="H46" i="42"/>
  <c r="H46" i="40"/>
  <c r="H50" i="42"/>
  <c r="H50" i="40"/>
  <c r="H51" i="42"/>
  <c r="H49" i="42"/>
  <c r="H51" i="40"/>
  <c r="H49" i="40"/>
  <c r="H54" i="40"/>
  <c r="H53" i="40"/>
  <c r="H55" i="42"/>
  <c r="H55" i="40"/>
  <c r="H45" i="42"/>
  <c r="H45" i="40"/>
  <c r="H47" i="42"/>
  <c r="H47" i="40"/>
  <c r="H48" i="42"/>
  <c r="H48" i="40"/>
  <c r="H47" i="36"/>
  <c r="H47" i="38"/>
  <c r="H47" i="34"/>
  <c r="G46" i="14"/>
  <c r="G47" i="30"/>
  <c r="G47" i="32"/>
  <c r="G47" i="24"/>
  <c r="G47" i="22"/>
  <c r="G47" i="18"/>
  <c r="G47" i="28"/>
  <c r="G47" i="26"/>
  <c r="G47" i="20"/>
  <c r="G46" i="16"/>
  <c r="G48" i="14"/>
  <c r="H51" i="46"/>
  <c r="H49" i="46"/>
  <c r="H45" i="46"/>
  <c r="H49" i="48"/>
  <c r="H45" i="48"/>
  <c r="H51" i="36"/>
  <c r="H49" i="36"/>
  <c r="H54" i="50"/>
  <c r="H52" i="50"/>
  <c r="H50" i="50"/>
  <c r="H48" i="50"/>
  <c r="H46" i="50"/>
  <c r="H45" i="50"/>
  <c r="H51" i="38"/>
  <c r="H49" i="38"/>
  <c r="H51" i="34"/>
  <c r="H49" i="34"/>
  <c r="H45" i="34"/>
  <c r="H55" i="50"/>
  <c r="H53" i="50"/>
  <c r="H51" i="50"/>
  <c r="H49" i="50"/>
  <c r="H47" i="50"/>
  <c r="G48" i="26"/>
  <c r="G48" i="22"/>
  <c r="G48" i="20"/>
  <c r="G48" i="18"/>
  <c r="G48" i="24"/>
  <c r="G51" i="16"/>
  <c r="G48" i="16"/>
  <c r="G52" i="16"/>
  <c r="G50" i="30"/>
  <c r="G50" i="28"/>
  <c r="G50" i="26"/>
  <c r="G50" i="22"/>
  <c r="G50" i="24"/>
  <c r="H50" i="48"/>
  <c r="H52" i="38"/>
  <c r="H52" i="36"/>
  <c r="G50" i="20"/>
  <c r="G50" i="18"/>
  <c r="H53" i="36"/>
  <c r="H53" i="38"/>
  <c r="G51" i="24"/>
  <c r="G51" i="22"/>
  <c r="G51" i="20"/>
  <c r="G51" i="26"/>
  <c r="G51" i="18"/>
  <c r="H52" i="48"/>
  <c r="H54" i="38"/>
  <c r="H54" i="36"/>
  <c r="G52" i="26"/>
  <c r="G52" i="18"/>
  <c r="G52" i="24"/>
  <c r="G52" i="22"/>
  <c r="G52" i="20"/>
  <c r="G49" i="14"/>
  <c r="H55" i="46"/>
  <c r="G52" i="30"/>
  <c r="G51" i="30"/>
  <c r="G49" i="30"/>
  <c r="G52" i="32"/>
  <c r="G51" i="32"/>
  <c r="G49" i="32"/>
  <c r="H54" i="34"/>
  <c r="G51" i="28"/>
  <c r="G49" i="28"/>
  <c r="G49" i="24"/>
  <c r="G49" i="18"/>
  <c r="G52" i="28"/>
  <c r="G49" i="26"/>
  <c r="G49" i="22"/>
  <c r="G49" i="20"/>
  <c r="G49" i="16"/>
  <c r="H55" i="36"/>
  <c r="G54" i="18"/>
  <c r="G54" i="20"/>
  <c r="G54" i="30"/>
  <c r="G54" i="32"/>
  <c r="H55" i="38"/>
  <c r="H55" i="34"/>
  <c r="G54" i="28"/>
  <c r="G54" i="24"/>
  <c r="G54" i="22"/>
  <c r="G53" i="20"/>
  <c r="G54" i="26"/>
  <c r="G53" i="18"/>
  <c r="H54" i="46"/>
  <c r="H54" i="48"/>
  <c r="H47" i="44"/>
  <c r="H55" i="48"/>
  <c r="H45" i="36"/>
  <c r="H45" i="38"/>
  <c r="H53" i="34"/>
  <c r="M13" i="10"/>
  <c r="M18" i="10"/>
  <c r="M16" i="10"/>
  <c r="M14" i="10"/>
  <c r="K26" i="10" s="1"/>
  <c r="K19" i="10"/>
  <c r="K17" i="10"/>
  <c r="K15" i="10"/>
  <c r="I13" i="10"/>
  <c r="I18" i="10"/>
  <c r="I16" i="10"/>
  <c r="I14" i="10"/>
  <c r="M19" i="10"/>
  <c r="M17" i="10"/>
  <c r="M15" i="10"/>
  <c r="K13" i="10"/>
  <c r="K18" i="10"/>
  <c r="K16" i="10"/>
  <c r="K14" i="10"/>
  <c r="I19" i="10"/>
  <c r="I17" i="10"/>
  <c r="K32" i="10" s="1"/>
  <c r="I15" i="10"/>
  <c r="K56" i="10" s="1"/>
  <c r="H45" i="44"/>
  <c r="H46" i="46"/>
  <c r="H46" i="48"/>
  <c r="H46" i="38"/>
  <c r="H46" i="34"/>
  <c r="H46" i="44"/>
  <c r="H46" i="36"/>
  <c r="G52" i="14"/>
  <c r="H50" i="38"/>
  <c r="H50" i="34"/>
  <c r="H50" i="36"/>
  <c r="H48" i="46"/>
  <c r="H47" i="48"/>
  <c r="H48" i="38"/>
  <c r="H48" i="34"/>
  <c r="H48" i="36"/>
  <c r="H48" i="44"/>
  <c r="H50" i="46"/>
  <c r="G47" i="14"/>
  <c r="G46" i="30"/>
  <c r="G46" i="32"/>
  <c r="G46" i="28"/>
  <c r="G46" i="26"/>
  <c r="G46" i="22"/>
  <c r="G46" i="20"/>
  <c r="G46" i="18"/>
  <c r="G46" i="24"/>
  <c r="G47" i="16"/>
  <c r="G48" i="30"/>
  <c r="G48" i="32"/>
  <c r="G48" i="28"/>
  <c r="G50" i="14"/>
  <c r="H52" i="34"/>
  <c r="G50" i="16"/>
  <c r="G53" i="24"/>
  <c r="G53" i="22"/>
  <c r="G53" i="26"/>
  <c r="G56" i="30"/>
  <c r="G55" i="30"/>
  <c r="G53" i="30"/>
  <c r="G56" i="32"/>
  <c r="G55" i="32"/>
  <c r="G53" i="32"/>
  <c r="B76" i="10"/>
  <c r="I53" i="48" s="1"/>
  <c r="H56" i="28"/>
  <c r="K56" i="28" s="1"/>
  <c r="H55" i="28"/>
  <c r="K55" i="28" s="1"/>
  <c r="G53" i="28"/>
  <c r="G56" i="26"/>
  <c r="G55" i="26"/>
  <c r="H56" i="24"/>
  <c r="K56" i="24" s="1"/>
  <c r="G55" i="24"/>
  <c r="H56" i="22"/>
  <c r="K56" i="22" s="1"/>
  <c r="G55" i="22"/>
  <c r="G56" i="20"/>
  <c r="G55" i="20"/>
  <c r="H56" i="18"/>
  <c r="K56" i="18" s="1"/>
  <c r="G56" i="28"/>
  <c r="G55" i="28"/>
  <c r="H53" i="28"/>
  <c r="K53" i="28" s="1"/>
  <c r="H56" i="26"/>
  <c r="K56" i="26" s="1"/>
  <c r="H55" i="26"/>
  <c r="K55" i="26" s="1"/>
  <c r="G56" i="24"/>
  <c r="H55" i="24"/>
  <c r="K55" i="24" s="1"/>
  <c r="G56" i="22"/>
  <c r="H55" i="22"/>
  <c r="K55" i="22" s="1"/>
  <c r="H56" i="20"/>
  <c r="K56" i="20" s="1"/>
  <c r="H55" i="20"/>
  <c r="K55" i="20" s="1"/>
  <c r="G56" i="18"/>
  <c r="G55" i="18"/>
  <c r="H55" i="18"/>
  <c r="K55" i="18" s="1"/>
  <c r="H56" i="16"/>
  <c r="K56" i="16" s="1"/>
  <c r="G56" i="16"/>
  <c r="G55" i="16"/>
  <c r="G54" i="16"/>
  <c r="G53" i="16"/>
  <c r="H55" i="16"/>
  <c r="K55" i="16" s="1"/>
  <c r="H54" i="16"/>
  <c r="K54" i="16" s="1"/>
  <c r="H53" i="16"/>
  <c r="K53" i="16" s="1"/>
  <c r="H54" i="14"/>
  <c r="H56" i="14"/>
  <c r="H53" i="14"/>
  <c r="H55" i="14"/>
  <c r="H52" i="44"/>
  <c r="H55" i="44"/>
  <c r="H53" i="44"/>
  <c r="G51" i="14"/>
  <c r="G53" i="14"/>
  <c r="G55" i="14"/>
  <c r="G54" i="14"/>
  <c r="G56" i="14"/>
  <c r="K53" i="10"/>
  <c r="K29" i="10"/>
  <c r="K10" i="10"/>
  <c r="H53" i="48" l="1"/>
  <c r="I54" i="46"/>
  <c r="O56" i="46" s="1"/>
  <c r="O57" i="46" s="1"/>
  <c r="O36" i="47" s="1"/>
  <c r="AM30" i="3" s="1"/>
  <c r="I53" i="40"/>
  <c r="I52" i="42"/>
  <c r="I52" i="40"/>
  <c r="I53" i="42"/>
  <c r="I55" i="40"/>
  <c r="V47" i="16"/>
  <c r="T47" i="16"/>
  <c r="U47" i="16"/>
  <c r="K47" i="16"/>
  <c r="W47" i="16"/>
  <c r="U51" i="18"/>
  <c r="K51" i="18"/>
  <c r="T51" i="18"/>
  <c r="U53" i="18"/>
  <c r="K53" i="18"/>
  <c r="U46" i="20"/>
  <c r="W46" i="20"/>
  <c r="V46" i="20"/>
  <c r="K46" i="20"/>
  <c r="T46" i="20"/>
  <c r="T50" i="20"/>
  <c r="W50" i="20"/>
  <c r="V50" i="20"/>
  <c r="U50" i="20"/>
  <c r="K50" i="20"/>
  <c r="U50" i="22"/>
  <c r="T50" i="22"/>
  <c r="K50" i="22"/>
  <c r="U46" i="24"/>
  <c r="V46" i="24"/>
  <c r="K46" i="24"/>
  <c r="T46" i="24"/>
  <c r="U50" i="24"/>
  <c r="V50" i="24"/>
  <c r="K50" i="24"/>
  <c r="T50" i="24"/>
  <c r="U52" i="24"/>
  <c r="V52" i="24"/>
  <c r="T52" i="24"/>
  <c r="U46" i="26"/>
  <c r="V46" i="26"/>
  <c r="W46" i="26"/>
  <c r="K46" i="26"/>
  <c r="T46" i="26"/>
  <c r="U50" i="26"/>
  <c r="T50" i="26"/>
  <c r="W50" i="26"/>
  <c r="V50" i="26"/>
  <c r="K50" i="26"/>
  <c r="U52" i="26"/>
  <c r="W52" i="26"/>
  <c r="V52" i="26"/>
  <c r="T52" i="26"/>
  <c r="K48" i="28"/>
  <c r="T48" i="28"/>
  <c r="U48" i="28"/>
  <c r="U50" i="28"/>
  <c r="T50" i="28"/>
  <c r="K50" i="28"/>
  <c r="U46" i="18"/>
  <c r="T46" i="18"/>
  <c r="V46" i="18"/>
  <c r="K46" i="18"/>
  <c r="T50" i="18"/>
  <c r="U50" i="18"/>
  <c r="V50" i="18"/>
  <c r="K50" i="18"/>
  <c r="W52" i="20"/>
  <c r="T52" i="20"/>
  <c r="U52" i="20"/>
  <c r="V52" i="20"/>
  <c r="W54" i="20"/>
  <c r="T54" i="20"/>
  <c r="U54" i="20"/>
  <c r="K54" i="20"/>
  <c r="V54" i="20"/>
  <c r="T51" i="22"/>
  <c r="U51" i="22"/>
  <c r="K51" i="22"/>
  <c r="T53" i="22"/>
  <c r="U53" i="22"/>
  <c r="K53" i="22"/>
  <c r="U47" i="28"/>
  <c r="K47" i="28"/>
  <c r="M56" i="36"/>
  <c r="M57" i="36" s="1"/>
  <c r="N36" i="37" s="1"/>
  <c r="W30" i="3" s="1"/>
  <c r="K56" i="36"/>
  <c r="K57" i="36" s="1"/>
  <c r="M36" i="37" s="1"/>
  <c r="V30" i="3" s="1"/>
  <c r="O56" i="36"/>
  <c r="O57" i="36" s="1"/>
  <c r="O36" i="37" s="1"/>
  <c r="X30" i="3" s="1"/>
  <c r="W47" i="32"/>
  <c r="V47" i="32"/>
  <c r="T47" i="32"/>
  <c r="U47" i="32"/>
  <c r="K47" i="32"/>
  <c r="U50" i="32"/>
  <c r="V50" i="32"/>
  <c r="W50" i="32"/>
  <c r="K50" i="32"/>
  <c r="T50" i="32"/>
  <c r="T48" i="30"/>
  <c r="V48" i="30"/>
  <c r="K48" i="30"/>
  <c r="U48" i="30"/>
  <c r="K56" i="48"/>
  <c r="K57" i="48" s="1"/>
  <c r="M36" i="49" s="1"/>
  <c r="AN30" i="3" s="1"/>
  <c r="M56" i="48"/>
  <c r="M57" i="48" s="1"/>
  <c r="N36" i="49" s="1"/>
  <c r="AO30" i="3" s="1"/>
  <c r="O56" i="48"/>
  <c r="O57" i="48" s="1"/>
  <c r="O36" i="49" s="1"/>
  <c r="AP30" i="3" s="1"/>
  <c r="M56" i="40"/>
  <c r="M57" i="40" s="1"/>
  <c r="N36" i="41" s="1"/>
  <c r="AC30" i="3" s="1"/>
  <c r="K50" i="30"/>
  <c r="T50" i="30"/>
  <c r="U50" i="30"/>
  <c r="V50" i="30"/>
  <c r="K70" i="10"/>
  <c r="U46" i="16"/>
  <c r="T46" i="16"/>
  <c r="K46" i="16"/>
  <c r="V46" i="16"/>
  <c r="W46" i="16"/>
  <c r="W50" i="16"/>
  <c r="T50" i="16"/>
  <c r="V50" i="16"/>
  <c r="U50" i="16"/>
  <c r="K50" i="16"/>
  <c r="V52" i="18"/>
  <c r="U52" i="18"/>
  <c r="T52" i="18"/>
  <c r="V54" i="18"/>
  <c r="K54" i="18"/>
  <c r="U54" i="18"/>
  <c r="T54" i="18"/>
  <c r="U47" i="20"/>
  <c r="W47" i="20"/>
  <c r="K47" i="20"/>
  <c r="T47" i="20"/>
  <c r="V47" i="20"/>
  <c r="U46" i="22"/>
  <c r="T46" i="22"/>
  <c r="K46" i="22"/>
  <c r="U47" i="24"/>
  <c r="V47" i="24"/>
  <c r="K47" i="24"/>
  <c r="T47" i="24"/>
  <c r="U51" i="24"/>
  <c r="K51" i="24"/>
  <c r="V51" i="24"/>
  <c r="T51" i="24"/>
  <c r="T53" i="24"/>
  <c r="V53" i="24"/>
  <c r="U53" i="24"/>
  <c r="K53" i="24"/>
  <c r="U47" i="26"/>
  <c r="W47" i="26"/>
  <c r="K47" i="26"/>
  <c r="T47" i="26"/>
  <c r="V47" i="26"/>
  <c r="U51" i="26"/>
  <c r="K51" i="26"/>
  <c r="T51" i="26"/>
  <c r="V51" i="26"/>
  <c r="W51" i="26"/>
  <c r="W53" i="26"/>
  <c r="T53" i="26"/>
  <c r="K53" i="26"/>
  <c r="V53" i="26"/>
  <c r="U53" i="26"/>
  <c r="U51" i="28"/>
  <c r="K51" i="28"/>
  <c r="U47" i="18"/>
  <c r="V47" i="18"/>
  <c r="K47" i="18"/>
  <c r="T47" i="18"/>
  <c r="T51" i="20"/>
  <c r="K51" i="20"/>
  <c r="U51" i="20"/>
  <c r="V53" i="20"/>
  <c r="K53" i="20"/>
  <c r="U47" i="22"/>
  <c r="K47" i="22"/>
  <c r="T47" i="22"/>
  <c r="U52" i="22"/>
  <c r="T52" i="22"/>
  <c r="U46" i="28"/>
  <c r="K46" i="28"/>
  <c r="M56" i="34"/>
  <c r="M57" i="34" s="1"/>
  <c r="N36" i="35" s="1"/>
  <c r="T30" i="3" s="1"/>
  <c r="O56" i="34"/>
  <c r="O57" i="34" s="1"/>
  <c r="O36" i="35" s="1"/>
  <c r="U30" i="3" s="1"/>
  <c r="K56" i="34"/>
  <c r="K57" i="34" s="1"/>
  <c r="M36" i="35" s="1"/>
  <c r="S30" i="3" s="1"/>
  <c r="K56" i="38"/>
  <c r="K57" i="38" s="1"/>
  <c r="M36" i="39" s="1"/>
  <c r="Y30" i="3" s="1"/>
  <c r="O56" i="38"/>
  <c r="O57" i="38" s="1"/>
  <c r="O36" i="39" s="1"/>
  <c r="AA30" i="3" s="1"/>
  <c r="M56" i="38"/>
  <c r="M57" i="38" s="1"/>
  <c r="N36" i="39" s="1"/>
  <c r="Z30" i="3" s="1"/>
  <c r="V46" i="32"/>
  <c r="W46" i="32"/>
  <c r="T46" i="32"/>
  <c r="K46" i="32"/>
  <c r="U46" i="32"/>
  <c r="U48" i="32"/>
  <c r="V48" i="32"/>
  <c r="T48" i="32"/>
  <c r="K48" i="32"/>
  <c r="W48" i="32"/>
  <c r="V47" i="30"/>
  <c r="O57" i="30" s="1"/>
  <c r="O58" i="30" s="1"/>
  <c r="P36" i="31" s="1"/>
  <c r="U47" i="30"/>
  <c r="T47" i="30"/>
  <c r="K47" i="30"/>
  <c r="K67" i="10"/>
  <c r="B77" i="10"/>
  <c r="H54" i="44" s="1"/>
  <c r="K45" i="10"/>
  <c r="K40" i="10"/>
  <c r="K38" i="10"/>
  <c r="K35" i="10"/>
  <c r="K55" i="10"/>
  <c r="K54" i="10"/>
  <c r="K44" i="10"/>
  <c r="K34" i="10"/>
  <c r="K33" i="10"/>
  <c r="K27" i="10"/>
  <c r="K77" i="10"/>
  <c r="K69" i="10"/>
  <c r="K43" i="10"/>
  <c r="K31" i="10"/>
  <c r="K64" i="10"/>
  <c r="K78" i="10"/>
  <c r="K71" i="10"/>
  <c r="K66" i="10"/>
  <c r="K73" i="10"/>
  <c r="K62" i="10"/>
  <c r="K61" i="10"/>
  <c r="AC61" i="10" s="1"/>
  <c r="AD61" i="10" s="1"/>
  <c r="K58" i="10"/>
  <c r="K30" i="10"/>
  <c r="K28" i="10"/>
  <c r="K65" i="10"/>
  <c r="K51" i="10"/>
  <c r="K46" i="10"/>
  <c r="K57" i="10"/>
  <c r="K52" i="10"/>
  <c r="K39" i="10"/>
  <c r="K37" i="10"/>
  <c r="K60" i="10"/>
  <c r="K76" i="10"/>
  <c r="K41" i="10"/>
  <c r="K36" i="10"/>
  <c r="M2" i="11"/>
  <c r="M2" i="9"/>
  <c r="M56" i="46" l="1"/>
  <c r="M57" i="46" s="1"/>
  <c r="N36" i="47" s="1"/>
  <c r="AL30" i="3" s="1"/>
  <c r="K56" i="46"/>
  <c r="K57" i="46" s="1"/>
  <c r="M36" i="47" s="1"/>
  <c r="AK30" i="3" s="1"/>
  <c r="M57" i="30"/>
  <c r="N57" i="28"/>
  <c r="N58" i="28" s="1"/>
  <c r="O36" i="29" s="1"/>
  <c r="N57" i="16"/>
  <c r="N58" i="16" s="1"/>
  <c r="O36" i="17" s="1"/>
  <c r="N57" i="30"/>
  <c r="N58" i="30" s="1"/>
  <c r="O36" i="31" s="1"/>
  <c r="N57" i="24"/>
  <c r="N58" i="24" s="1"/>
  <c r="O36" i="25" s="1"/>
  <c r="M57" i="26"/>
  <c r="M56" i="42"/>
  <c r="M57" i="42" s="1"/>
  <c r="N36" i="43" s="1"/>
  <c r="AF30" i="3" s="1"/>
  <c r="O56" i="40"/>
  <c r="O57" i="40" s="1"/>
  <c r="O36" i="41" s="1"/>
  <c r="AD30" i="3" s="1"/>
  <c r="K56" i="40"/>
  <c r="K57" i="40" s="1"/>
  <c r="M36" i="41" s="1"/>
  <c r="AB30" i="3" s="1"/>
  <c r="K56" i="42"/>
  <c r="K57" i="42" s="1"/>
  <c r="M36" i="43" s="1"/>
  <c r="AE30" i="3" s="1"/>
  <c r="N57" i="26"/>
  <c r="N58" i="26" s="1"/>
  <c r="O36" i="27" s="1"/>
  <c r="P57" i="26"/>
  <c r="P58" i="26" s="1"/>
  <c r="Q36" i="27" s="1"/>
  <c r="O57" i="16"/>
  <c r="O58" i="16" s="1"/>
  <c r="P36" i="17" s="1"/>
  <c r="O56" i="42"/>
  <c r="O57" i="42" s="1"/>
  <c r="O36" i="43" s="1"/>
  <c r="AG30" i="3" s="1"/>
  <c r="M57" i="24"/>
  <c r="M58" i="24" s="1"/>
  <c r="P57" i="16"/>
  <c r="P58" i="16" s="1"/>
  <c r="Q36" i="17" s="1"/>
  <c r="P57" i="32"/>
  <c r="P58" i="32" s="1"/>
  <c r="Q36" i="33" s="1"/>
  <c r="M57" i="22"/>
  <c r="N57" i="18"/>
  <c r="N58" i="18" s="1"/>
  <c r="O36" i="19" s="1"/>
  <c r="M57" i="28"/>
  <c r="O57" i="20"/>
  <c r="O58" i="20" s="1"/>
  <c r="P36" i="21" s="1"/>
  <c r="M57" i="20"/>
  <c r="M58" i="30"/>
  <c r="N57" i="32"/>
  <c r="N58" i="32" s="1"/>
  <c r="O36" i="33" s="1"/>
  <c r="M57" i="32"/>
  <c r="O57" i="32"/>
  <c r="O58" i="32" s="1"/>
  <c r="P36" i="33" s="1"/>
  <c r="O57" i="26"/>
  <c r="O58" i="26" s="1"/>
  <c r="P36" i="27" s="1"/>
  <c r="M58" i="26"/>
  <c r="O57" i="24"/>
  <c r="O58" i="24" s="1"/>
  <c r="P36" i="25" s="1"/>
  <c r="M57" i="16"/>
  <c r="O57" i="18"/>
  <c r="O58" i="18" s="1"/>
  <c r="P36" i="19" s="1"/>
  <c r="M57" i="18"/>
  <c r="N57" i="22"/>
  <c r="N58" i="22" s="1"/>
  <c r="O36" i="23" s="1"/>
  <c r="N57" i="20"/>
  <c r="N58" i="20" s="1"/>
  <c r="O36" i="21" s="1"/>
  <c r="P57" i="20"/>
  <c r="P58" i="20" s="1"/>
  <c r="Q36" i="21" s="1"/>
  <c r="C2" i="51"/>
  <c r="C2" i="47"/>
  <c r="C2" i="43"/>
  <c r="C2" i="39"/>
  <c r="C2" i="35"/>
  <c r="C2" i="31"/>
  <c r="C2" i="19"/>
  <c r="C2" i="49"/>
  <c r="C2" i="45"/>
  <c r="C2" i="41"/>
  <c r="C2" i="37"/>
  <c r="C2" i="33"/>
  <c r="C2" i="29"/>
  <c r="C2" i="25"/>
  <c r="C2" i="21"/>
  <c r="C2" i="17"/>
  <c r="C2" i="27"/>
  <c r="C2" i="23"/>
  <c r="C2" i="15"/>
  <c r="M9" i="9"/>
  <c r="M8" i="9"/>
  <c r="M11" i="9"/>
  <c r="M10" i="9"/>
  <c r="K57" i="30" l="1"/>
  <c r="K57" i="26"/>
  <c r="M58" i="18"/>
  <c r="K57" i="18"/>
  <c r="K57" i="16"/>
  <c r="M58" i="16"/>
  <c r="M58" i="32"/>
  <c r="K57" i="32"/>
  <c r="M58" i="20"/>
  <c r="K57" i="20"/>
  <c r="M58" i="28"/>
  <c r="K57" i="28"/>
  <c r="K57" i="22"/>
  <c r="M58" i="22"/>
  <c r="K57" i="24"/>
  <c r="K58" i="26"/>
  <c r="M36" i="27" s="1"/>
  <c r="M30" i="3" s="1"/>
  <c r="N36" i="27"/>
  <c r="N36" i="31"/>
  <c r="K58" i="30"/>
  <c r="M36" i="31" s="1"/>
  <c r="O30" i="3" s="1"/>
  <c r="K58" i="24"/>
  <c r="M36" i="25" s="1"/>
  <c r="L30" i="3" s="1"/>
  <c r="N36" i="25"/>
  <c r="A3" i="4"/>
  <c r="B2" i="3"/>
  <c r="H58" i="42"/>
  <c r="H37" i="40"/>
  <c r="H37" i="42"/>
  <c r="H58" i="40"/>
  <c r="H58" i="46"/>
  <c r="H37" i="46"/>
  <c r="H58" i="48"/>
  <c r="H37" i="48"/>
  <c r="H40" i="30"/>
  <c r="I42" i="30" s="1"/>
  <c r="L42" i="30" s="1"/>
  <c r="L40" i="30" s="1"/>
  <c r="H59" i="30"/>
  <c r="H40" i="32"/>
  <c r="I42" i="32" s="1"/>
  <c r="L42" i="32" s="1"/>
  <c r="L40" i="32" s="1"/>
  <c r="H59" i="32"/>
  <c r="H37" i="38"/>
  <c r="H58" i="34"/>
  <c r="H58" i="36"/>
  <c r="H37" i="50"/>
  <c r="H58" i="38"/>
  <c r="H37" i="34"/>
  <c r="H37" i="36"/>
  <c r="H58" i="50"/>
  <c r="I69" i="40"/>
  <c r="I69" i="42"/>
  <c r="I69" i="46"/>
  <c r="I69" i="48"/>
  <c r="I69" i="38"/>
  <c r="I69" i="34"/>
  <c r="I69" i="36"/>
  <c r="I69" i="50"/>
  <c r="H27" i="42"/>
  <c r="H27" i="40"/>
  <c r="H27" i="46"/>
  <c r="H27" i="48"/>
  <c r="H32" i="30"/>
  <c r="H33" i="30" s="1"/>
  <c r="L32" i="30" s="1"/>
  <c r="H32" i="32"/>
  <c r="H33" i="32" s="1"/>
  <c r="L32" i="32" s="1"/>
  <c r="H27" i="38"/>
  <c r="H27" i="34"/>
  <c r="H27" i="36"/>
  <c r="H27" i="50"/>
  <c r="I29" i="50" s="1"/>
  <c r="F6" i="10"/>
  <c r="M44" i="10" s="1"/>
  <c r="H59" i="28"/>
  <c r="H40" i="28"/>
  <c r="I42" i="28" s="1"/>
  <c r="L42" i="28" s="1"/>
  <c r="L40" i="28" s="1"/>
  <c r="H59" i="26"/>
  <c r="H59" i="24"/>
  <c r="H40" i="24"/>
  <c r="I42" i="24" s="1"/>
  <c r="L42" i="24" s="1"/>
  <c r="L40" i="24" s="1"/>
  <c r="H59" i="22"/>
  <c r="H40" i="22"/>
  <c r="I42" i="22" s="1"/>
  <c r="L42" i="22" s="1"/>
  <c r="L40" i="22" s="1"/>
  <c r="H59" i="18"/>
  <c r="H40" i="18"/>
  <c r="I42" i="18" s="1"/>
  <c r="L42" i="18" s="1"/>
  <c r="L40" i="18" s="1"/>
  <c r="H40" i="26"/>
  <c r="I42" i="26" s="1"/>
  <c r="L42" i="26" s="1"/>
  <c r="L40" i="26" s="1"/>
  <c r="H59" i="20"/>
  <c r="H40" i="20"/>
  <c r="I42" i="20" s="1"/>
  <c r="L42" i="20" s="1"/>
  <c r="L40" i="20" s="1"/>
  <c r="H59" i="16"/>
  <c r="H40" i="16"/>
  <c r="I42" i="16" s="1"/>
  <c r="L42" i="16" s="1"/>
  <c r="L40" i="16" s="1"/>
  <c r="H32" i="26"/>
  <c r="H33" i="26" s="1"/>
  <c r="L32" i="26" s="1"/>
  <c r="H32" i="18"/>
  <c r="H33" i="18" s="1"/>
  <c r="L32" i="18" s="1"/>
  <c r="H32" i="28"/>
  <c r="H33" i="28" s="1"/>
  <c r="L32" i="28" s="1"/>
  <c r="H32" i="24"/>
  <c r="H33" i="24" s="1"/>
  <c r="L32" i="24" s="1"/>
  <c r="H32" i="22"/>
  <c r="H33" i="22" s="1"/>
  <c r="L32" i="22" s="1"/>
  <c r="H32" i="20"/>
  <c r="H33" i="20" s="1"/>
  <c r="L32" i="20" s="1"/>
  <c r="H32" i="16"/>
  <c r="H33" i="16" s="1"/>
  <c r="L32" i="16" s="1"/>
  <c r="M59" i="10"/>
  <c r="M71" i="10"/>
  <c r="M64" i="10"/>
  <c r="M77" i="10" l="1"/>
  <c r="M46" i="10"/>
  <c r="I48" i="28" s="1"/>
  <c r="AA48" i="28" s="1"/>
  <c r="M51" i="10"/>
  <c r="K58" i="22"/>
  <c r="M36" i="23" s="1"/>
  <c r="K30" i="3" s="1"/>
  <c r="N36" i="23"/>
  <c r="K58" i="16"/>
  <c r="M36" i="17" s="1"/>
  <c r="F30" i="3" s="1"/>
  <c r="N36" i="17"/>
  <c r="N36" i="29"/>
  <c r="K58" i="28"/>
  <c r="M36" i="29" s="1"/>
  <c r="N30" i="3" s="1"/>
  <c r="N36" i="21"/>
  <c r="K58" i="20"/>
  <c r="M36" i="21" s="1"/>
  <c r="H30" i="3" s="1"/>
  <c r="N36" i="33"/>
  <c r="K58" i="32"/>
  <c r="M36" i="33" s="1"/>
  <c r="P30" i="3" s="1"/>
  <c r="K58" i="18"/>
  <c r="M36" i="19" s="1"/>
  <c r="G30" i="3" s="1"/>
  <c r="N36" i="19"/>
  <c r="M69" i="10"/>
  <c r="J53" i="46" s="1"/>
  <c r="P53" i="46" s="1"/>
  <c r="M54" i="10"/>
  <c r="M38" i="10"/>
  <c r="M49" i="10"/>
  <c r="I50" i="32" s="1"/>
  <c r="AA50" i="32" s="1"/>
  <c r="M67" i="10"/>
  <c r="M74" i="10"/>
  <c r="M66" i="10"/>
  <c r="I53" i="26" s="1"/>
  <c r="M58" i="10"/>
  <c r="M50" i="10"/>
  <c r="J48" i="48" s="1"/>
  <c r="N48" i="48" s="1"/>
  <c r="M42" i="10"/>
  <c r="M30" i="10"/>
  <c r="M60" i="10"/>
  <c r="M68" i="10"/>
  <c r="J55" i="40" s="1"/>
  <c r="M31" i="10"/>
  <c r="M41" i="10"/>
  <c r="J52" i="46" s="1"/>
  <c r="N52" i="46" s="1"/>
  <c r="M34" i="10"/>
  <c r="M75" i="10"/>
  <c r="M62" i="10"/>
  <c r="J55" i="36" s="1"/>
  <c r="N55" i="36" s="1"/>
  <c r="M45" i="10"/>
  <c r="I47" i="32" s="1"/>
  <c r="M76" i="10"/>
  <c r="M63" i="10"/>
  <c r="M39" i="10"/>
  <c r="J50" i="46" s="1"/>
  <c r="N50" i="46" s="1"/>
  <c r="M78" i="10"/>
  <c r="M53" i="10"/>
  <c r="J52" i="42" s="1"/>
  <c r="P52" i="42" s="1"/>
  <c r="M55" i="10"/>
  <c r="J53" i="42" s="1"/>
  <c r="L53" i="42" s="1"/>
  <c r="M29" i="10"/>
  <c r="J47" i="46" s="1"/>
  <c r="P47" i="46" s="1"/>
  <c r="M33" i="10"/>
  <c r="J48" i="42" s="1"/>
  <c r="M70" i="10"/>
  <c r="M65" i="10"/>
  <c r="M57" i="10"/>
  <c r="J54" i="42" s="1"/>
  <c r="N54" i="42" s="1"/>
  <c r="M43" i="10"/>
  <c r="M35" i="10"/>
  <c r="M27" i="10"/>
  <c r="J45" i="40" s="1"/>
  <c r="M72" i="10"/>
  <c r="M61" i="10"/>
  <c r="M37" i="10"/>
  <c r="M40" i="10"/>
  <c r="J51" i="44" s="1"/>
  <c r="M28" i="10"/>
  <c r="M52" i="10"/>
  <c r="M26" i="10"/>
  <c r="J46" i="42" s="1"/>
  <c r="M47" i="10"/>
  <c r="J49" i="42" s="1"/>
  <c r="P49" i="42" s="1"/>
  <c r="M56" i="10"/>
  <c r="J51" i="48" s="1"/>
  <c r="N51" i="48" s="1"/>
  <c r="M32" i="10"/>
  <c r="J50" i="40" s="1"/>
  <c r="M48" i="10"/>
  <c r="M73" i="10"/>
  <c r="M36" i="10"/>
  <c r="N29" i="50"/>
  <c r="N27" i="50" s="1"/>
  <c r="N19" i="51" s="1"/>
  <c r="L29" i="50"/>
  <c r="L27" i="50" s="1"/>
  <c r="M19" i="51" s="1"/>
  <c r="P29" i="50"/>
  <c r="P27" i="50" s="1"/>
  <c r="O19" i="51" s="1"/>
  <c r="I29" i="34"/>
  <c r="I30" i="34"/>
  <c r="O32" i="32"/>
  <c r="P19" i="33" s="1"/>
  <c r="M19" i="33"/>
  <c r="P15" i="3" s="1"/>
  <c r="N32" i="32"/>
  <c r="O19" i="33" s="1"/>
  <c r="Q32" i="32"/>
  <c r="R19" i="33" s="1"/>
  <c r="M32" i="32"/>
  <c r="N19" i="33" s="1"/>
  <c r="P32" i="32"/>
  <c r="Q19" i="33" s="1"/>
  <c r="I29" i="48"/>
  <c r="I30" i="48"/>
  <c r="I30" i="40"/>
  <c r="I29" i="40"/>
  <c r="I61" i="50"/>
  <c r="I62" i="50"/>
  <c r="I60" i="50"/>
  <c r="I61" i="34"/>
  <c r="I62" i="34"/>
  <c r="I60" i="34"/>
  <c r="H62" i="32"/>
  <c r="L62" i="32" s="1"/>
  <c r="H63" i="32"/>
  <c r="L63" i="32" s="1"/>
  <c r="H61" i="32"/>
  <c r="H61" i="30"/>
  <c r="L61" i="30" s="1"/>
  <c r="H63" i="30"/>
  <c r="L63" i="30" s="1"/>
  <c r="H62" i="30"/>
  <c r="I60" i="40"/>
  <c r="I62" i="40"/>
  <c r="I30" i="36"/>
  <c r="I29" i="36"/>
  <c r="I30" i="38"/>
  <c r="I29" i="38"/>
  <c r="O32" i="30"/>
  <c r="P19" i="31" s="1"/>
  <c r="M19" i="31"/>
  <c r="O15" i="3" s="1"/>
  <c r="N32" i="30"/>
  <c r="O19" i="31" s="1"/>
  <c r="Q32" i="30"/>
  <c r="R19" i="31" s="1"/>
  <c r="M32" i="30"/>
  <c r="N19" i="31" s="1"/>
  <c r="P32" i="30"/>
  <c r="Q19" i="31" s="1"/>
  <c r="I29" i="46"/>
  <c r="I30" i="46"/>
  <c r="I30" i="42"/>
  <c r="I29" i="42"/>
  <c r="I60" i="38"/>
  <c r="I62" i="38"/>
  <c r="I61" i="36"/>
  <c r="I62" i="36"/>
  <c r="I60" i="36"/>
  <c r="P40" i="32"/>
  <c r="Q21" i="33" s="1"/>
  <c r="Q40" i="32"/>
  <c r="R21" i="33" s="1"/>
  <c r="M40" i="32"/>
  <c r="N21" i="33" s="1"/>
  <c r="M21" i="33"/>
  <c r="P17" i="3" s="1"/>
  <c r="N40" i="32"/>
  <c r="O21" i="33" s="1"/>
  <c r="O40" i="32"/>
  <c r="P21" i="33" s="1"/>
  <c r="N40" i="30"/>
  <c r="O21" i="31" s="1"/>
  <c r="M40" i="30"/>
  <c r="N21" i="31" s="1"/>
  <c r="O40" i="30"/>
  <c r="P21" i="31" s="1"/>
  <c r="P40" i="30"/>
  <c r="Q21" i="31" s="1"/>
  <c r="Q40" i="30"/>
  <c r="R21" i="31" s="1"/>
  <c r="M21" i="31"/>
  <c r="O17" i="3" s="1"/>
  <c r="I61" i="48"/>
  <c r="I62" i="48"/>
  <c r="I60" i="48"/>
  <c r="I61" i="46"/>
  <c r="I62" i="46"/>
  <c r="I60" i="46"/>
  <c r="I60" i="42"/>
  <c r="I62" i="42"/>
  <c r="J47" i="42"/>
  <c r="J47" i="40"/>
  <c r="J48" i="40"/>
  <c r="J52" i="34"/>
  <c r="L52" i="34" s="1"/>
  <c r="J52" i="40"/>
  <c r="J55" i="42"/>
  <c r="J54" i="40"/>
  <c r="J53" i="40"/>
  <c r="I48" i="30"/>
  <c r="I47" i="30"/>
  <c r="I54" i="30"/>
  <c r="L54" i="30" s="1"/>
  <c r="J55" i="38"/>
  <c r="J55" i="48"/>
  <c r="L52" i="46"/>
  <c r="J53" i="38"/>
  <c r="I46" i="30"/>
  <c r="L46" i="30" s="1"/>
  <c r="I46" i="32"/>
  <c r="J55" i="46"/>
  <c r="I52" i="30"/>
  <c r="I51" i="30"/>
  <c r="L51" i="30" s="1"/>
  <c r="I49" i="30"/>
  <c r="L49" i="30" s="1"/>
  <c r="I52" i="32"/>
  <c r="I51" i="32"/>
  <c r="L51" i="32" s="1"/>
  <c r="I49" i="32"/>
  <c r="L49" i="32" s="1"/>
  <c r="J54" i="34"/>
  <c r="J53" i="48"/>
  <c r="I56" i="30"/>
  <c r="L56" i="30" s="1"/>
  <c r="I55" i="30"/>
  <c r="L55" i="30" s="1"/>
  <c r="I53" i="30"/>
  <c r="L53" i="30" s="1"/>
  <c r="I56" i="32"/>
  <c r="L56" i="32" s="1"/>
  <c r="I55" i="32"/>
  <c r="L55" i="32" s="1"/>
  <c r="I53" i="32"/>
  <c r="L53" i="32" s="1"/>
  <c r="L48" i="48"/>
  <c r="J46" i="48"/>
  <c r="J46" i="34"/>
  <c r="J46" i="44"/>
  <c r="J47" i="48"/>
  <c r="J54" i="46"/>
  <c r="J54" i="48"/>
  <c r="J52" i="48"/>
  <c r="J54" i="38"/>
  <c r="J54" i="36"/>
  <c r="J45" i="46"/>
  <c r="J48" i="50"/>
  <c r="J55" i="50"/>
  <c r="J47" i="50"/>
  <c r="J47" i="36"/>
  <c r="J47" i="38"/>
  <c r="J47" i="34"/>
  <c r="J50" i="48"/>
  <c r="J52" i="38"/>
  <c r="J52" i="36"/>
  <c r="I50" i="28"/>
  <c r="Z50" i="28" s="1"/>
  <c r="I50" i="30"/>
  <c r="O32" i="16"/>
  <c r="P19" i="17" s="1"/>
  <c r="Q32" i="16"/>
  <c r="R19" i="17" s="1"/>
  <c r="M32" i="16"/>
  <c r="N19" i="17" s="1"/>
  <c r="N32" i="16"/>
  <c r="O19" i="17" s="1"/>
  <c r="M19" i="17"/>
  <c r="F15" i="3" s="1"/>
  <c r="P32" i="16"/>
  <c r="Q19" i="17" s="1"/>
  <c r="P32" i="22"/>
  <c r="Q19" i="23" s="1"/>
  <c r="O32" i="22"/>
  <c r="P19" i="23" s="1"/>
  <c r="M32" i="22"/>
  <c r="N19" i="23" s="1"/>
  <c r="Q32" i="22"/>
  <c r="R19" i="23" s="1"/>
  <c r="M19" i="23"/>
  <c r="K15" i="3" s="1"/>
  <c r="N32" i="22"/>
  <c r="O19" i="23" s="1"/>
  <c r="Q32" i="28"/>
  <c r="R19" i="29" s="1"/>
  <c r="M32" i="28"/>
  <c r="N19" i="29" s="1"/>
  <c r="M19" i="29"/>
  <c r="N15" i="3" s="1"/>
  <c r="N32" i="28"/>
  <c r="O19" i="29" s="1"/>
  <c r="P32" i="28"/>
  <c r="Q19" i="29" s="1"/>
  <c r="O32" i="28"/>
  <c r="P19" i="29" s="1"/>
  <c r="Q32" i="26"/>
  <c r="R19" i="27" s="1"/>
  <c r="M32" i="26"/>
  <c r="N19" i="27" s="1"/>
  <c r="P32" i="26"/>
  <c r="Q19" i="27" s="1"/>
  <c r="O32" i="26"/>
  <c r="P19" i="27" s="1"/>
  <c r="M19" i="27"/>
  <c r="M15" i="3" s="1"/>
  <c r="N32" i="26"/>
  <c r="O19" i="27" s="1"/>
  <c r="H61" i="16"/>
  <c r="H63" i="16"/>
  <c r="L63" i="16" s="1"/>
  <c r="H61" i="20"/>
  <c r="H62" i="20"/>
  <c r="H63" i="20"/>
  <c r="L63" i="20" s="1"/>
  <c r="M21" i="19"/>
  <c r="G17" i="3" s="1"/>
  <c r="O40" i="18"/>
  <c r="P21" i="19" s="1"/>
  <c r="P40" i="18"/>
  <c r="Q21" i="19" s="1"/>
  <c r="Q40" i="18"/>
  <c r="R21" i="19" s="1"/>
  <c r="M40" i="18"/>
  <c r="N21" i="19" s="1"/>
  <c r="N40" i="18"/>
  <c r="O21" i="19" s="1"/>
  <c r="M21" i="23"/>
  <c r="K17" i="3" s="1"/>
  <c r="O40" i="22"/>
  <c r="P21" i="23" s="1"/>
  <c r="P40" i="22"/>
  <c r="Q21" i="23" s="1"/>
  <c r="Q40" i="22"/>
  <c r="R21" i="23" s="1"/>
  <c r="M40" i="22"/>
  <c r="N21" i="23" s="1"/>
  <c r="N40" i="22"/>
  <c r="O21" i="23" s="1"/>
  <c r="M21" i="25"/>
  <c r="L17" i="3" s="1"/>
  <c r="O40" i="24"/>
  <c r="P21" i="25" s="1"/>
  <c r="P40" i="24"/>
  <c r="Q21" i="25" s="1"/>
  <c r="Q40" i="24"/>
  <c r="R21" i="25" s="1"/>
  <c r="M40" i="24"/>
  <c r="N21" i="25" s="1"/>
  <c r="N40" i="24"/>
  <c r="O21" i="25" s="1"/>
  <c r="H63" i="26"/>
  <c r="L63" i="26" s="1"/>
  <c r="H61" i="26"/>
  <c r="H62" i="26"/>
  <c r="H63" i="28"/>
  <c r="L63" i="28" s="1"/>
  <c r="H61" i="28"/>
  <c r="L61" i="28" s="1"/>
  <c r="H62" i="28"/>
  <c r="L62" i="28" s="1"/>
  <c r="M32" i="20"/>
  <c r="N19" i="21" s="1"/>
  <c r="P32" i="20"/>
  <c r="Q19" i="21" s="1"/>
  <c r="Q32" i="20"/>
  <c r="R19" i="21" s="1"/>
  <c r="M19" i="21"/>
  <c r="H15" i="3" s="1"/>
  <c r="N32" i="20"/>
  <c r="O19" i="21" s="1"/>
  <c r="O32" i="20"/>
  <c r="P19" i="21" s="1"/>
  <c r="M19" i="25"/>
  <c r="L15" i="3" s="1"/>
  <c r="M32" i="24"/>
  <c r="N19" i="25" s="1"/>
  <c r="Q32" i="24"/>
  <c r="R19" i="25" s="1"/>
  <c r="P32" i="24"/>
  <c r="Q19" i="25" s="1"/>
  <c r="O32" i="24"/>
  <c r="P19" i="25" s="1"/>
  <c r="N32" i="24"/>
  <c r="O19" i="25" s="1"/>
  <c r="P32" i="18"/>
  <c r="Q19" i="19" s="1"/>
  <c r="Q32" i="18"/>
  <c r="R19" i="19" s="1"/>
  <c r="M32" i="18"/>
  <c r="N19" i="19" s="1"/>
  <c r="N32" i="18"/>
  <c r="O19" i="19" s="1"/>
  <c r="O32" i="18"/>
  <c r="P19" i="19" s="1"/>
  <c r="M19" i="19"/>
  <c r="G15" i="3" s="1"/>
  <c r="N40" i="16"/>
  <c r="O21" i="17" s="1"/>
  <c r="P40" i="16"/>
  <c r="Q21" i="17" s="1"/>
  <c r="Q40" i="16"/>
  <c r="R21" i="17" s="1"/>
  <c r="M40" i="16"/>
  <c r="N21" i="17" s="1"/>
  <c r="M21" i="17"/>
  <c r="F17" i="3" s="1"/>
  <c r="O40" i="16"/>
  <c r="P21" i="17" s="1"/>
  <c r="M21" i="21"/>
  <c r="H17" i="3" s="1"/>
  <c r="O40" i="20"/>
  <c r="P21" i="21" s="1"/>
  <c r="P40" i="20"/>
  <c r="Q21" i="21" s="1"/>
  <c r="Q40" i="20"/>
  <c r="R21" i="21" s="1"/>
  <c r="M40" i="20"/>
  <c r="N21" i="21" s="1"/>
  <c r="N40" i="20"/>
  <c r="O21" i="21" s="1"/>
  <c r="M21" i="27"/>
  <c r="M17" i="3" s="1"/>
  <c r="N40" i="26"/>
  <c r="O21" i="27" s="1"/>
  <c r="O40" i="26"/>
  <c r="P21" i="27" s="1"/>
  <c r="P40" i="26"/>
  <c r="Q21" i="27" s="1"/>
  <c r="Q40" i="26"/>
  <c r="R21" i="27" s="1"/>
  <c r="M40" i="26"/>
  <c r="N21" i="27" s="1"/>
  <c r="H61" i="18"/>
  <c r="L61" i="18" s="1"/>
  <c r="H63" i="18"/>
  <c r="L63" i="18" s="1"/>
  <c r="H62" i="18"/>
  <c r="H63" i="22"/>
  <c r="L63" i="22" s="1"/>
  <c r="H61" i="22"/>
  <c r="L61" i="22" s="1"/>
  <c r="H62" i="22"/>
  <c r="H62" i="24"/>
  <c r="H61" i="24"/>
  <c r="L61" i="24" s="1"/>
  <c r="H63" i="24"/>
  <c r="L63" i="24" s="1"/>
  <c r="Q40" i="28"/>
  <c r="R21" i="29" s="1"/>
  <c r="M40" i="28"/>
  <c r="N21" i="29" s="1"/>
  <c r="N40" i="28"/>
  <c r="O21" i="29" s="1"/>
  <c r="M21" i="29"/>
  <c r="N17" i="3" s="1"/>
  <c r="O40" i="28"/>
  <c r="P21" i="29" s="1"/>
  <c r="P40" i="28"/>
  <c r="Q21" i="29" s="1"/>
  <c r="I49" i="14"/>
  <c r="I50" i="16"/>
  <c r="I54" i="20"/>
  <c r="I54" i="18"/>
  <c r="I47" i="26"/>
  <c r="I47" i="18"/>
  <c r="I47" i="24"/>
  <c r="I46" i="16"/>
  <c r="I54" i="22"/>
  <c r="L54" i="22" s="1"/>
  <c r="I54" i="24"/>
  <c r="L54" i="24" s="1"/>
  <c r="I50" i="24"/>
  <c r="I50" i="22"/>
  <c r="I50" i="26"/>
  <c r="I53" i="20"/>
  <c r="I51" i="20"/>
  <c r="I51" i="26"/>
  <c r="I51" i="22"/>
  <c r="I46" i="26"/>
  <c r="I46" i="22"/>
  <c r="I46" i="18"/>
  <c r="I46" i="28"/>
  <c r="I46" i="24"/>
  <c r="I46" i="20"/>
  <c r="I47" i="16"/>
  <c r="I52" i="28"/>
  <c r="Z52" i="28" s="1"/>
  <c r="I51" i="28"/>
  <c r="I49" i="28"/>
  <c r="L49" i="28" s="1"/>
  <c r="I49" i="24"/>
  <c r="L49" i="24" s="1"/>
  <c r="I49" i="22"/>
  <c r="L49" i="22" s="1"/>
  <c r="I49" i="20"/>
  <c r="L49" i="20" s="1"/>
  <c r="I49" i="26"/>
  <c r="L49" i="26" s="1"/>
  <c r="I49" i="18"/>
  <c r="L49" i="18" s="1"/>
  <c r="I49" i="16"/>
  <c r="L49" i="16" s="1"/>
  <c r="I53" i="24"/>
  <c r="I52" i="26"/>
  <c r="I52" i="24"/>
  <c r="I52" i="20"/>
  <c r="I52" i="18"/>
  <c r="I52" i="22"/>
  <c r="I48" i="20"/>
  <c r="L48" i="20" s="1"/>
  <c r="I50" i="20"/>
  <c r="I50" i="18"/>
  <c r="I56" i="26"/>
  <c r="L56" i="26" s="1"/>
  <c r="I56" i="22"/>
  <c r="L56" i="22" s="1"/>
  <c r="I53" i="16"/>
  <c r="L53" i="16" s="1"/>
  <c r="I53" i="28"/>
  <c r="L53" i="28" s="1"/>
  <c r="I55" i="26"/>
  <c r="L55" i="26" s="1"/>
  <c r="I55" i="22"/>
  <c r="L55" i="22" s="1"/>
  <c r="I55" i="20"/>
  <c r="L55" i="20" s="1"/>
  <c r="I56" i="28"/>
  <c r="L56" i="28" s="1"/>
  <c r="I56" i="24"/>
  <c r="L56" i="24" s="1"/>
  <c r="I56" i="18"/>
  <c r="L56" i="18" s="1"/>
  <c r="I56" i="16"/>
  <c r="L56" i="16" s="1"/>
  <c r="I54" i="16"/>
  <c r="L54" i="16" s="1"/>
  <c r="I55" i="24"/>
  <c r="L55" i="24" s="1"/>
  <c r="I56" i="20"/>
  <c r="L56" i="20" s="1"/>
  <c r="I55" i="28"/>
  <c r="L55" i="28" s="1"/>
  <c r="I55" i="18"/>
  <c r="L55" i="18" s="1"/>
  <c r="I55" i="16"/>
  <c r="L55" i="16" s="1"/>
  <c r="J53" i="44"/>
  <c r="J48" i="44"/>
  <c r="N48" i="44" s="1"/>
  <c r="J47" i="44"/>
  <c r="J54" i="44"/>
  <c r="I50" i="14"/>
  <c r="I47" i="14"/>
  <c r="J50" i="44"/>
  <c r="I53" i="14"/>
  <c r="I54" i="14"/>
  <c r="I55" i="14"/>
  <c r="I56" i="14"/>
  <c r="I46" i="14"/>
  <c r="J52" i="44" l="1"/>
  <c r="J55" i="44"/>
  <c r="I48" i="16"/>
  <c r="L48" i="16" s="1"/>
  <c r="I48" i="14"/>
  <c r="I53" i="22"/>
  <c r="I51" i="24"/>
  <c r="I51" i="18"/>
  <c r="I53" i="18"/>
  <c r="I54" i="26"/>
  <c r="L54" i="26" s="1"/>
  <c r="I54" i="28"/>
  <c r="L54" i="28" s="1"/>
  <c r="I47" i="22"/>
  <c r="I47" i="28"/>
  <c r="I47" i="20"/>
  <c r="J49" i="38"/>
  <c r="P49" i="38" s="1"/>
  <c r="J49" i="36"/>
  <c r="P49" i="36" s="1"/>
  <c r="J53" i="36"/>
  <c r="J45" i="38"/>
  <c r="J55" i="34"/>
  <c r="I54" i="32"/>
  <c r="L54" i="32" s="1"/>
  <c r="I48" i="32"/>
  <c r="L51" i="48"/>
  <c r="L50" i="32"/>
  <c r="L47" i="46"/>
  <c r="L55" i="36"/>
  <c r="Z48" i="28"/>
  <c r="L50" i="46"/>
  <c r="N47" i="46"/>
  <c r="AB50" i="32"/>
  <c r="P55" i="36"/>
  <c r="P50" i="46"/>
  <c r="AC50" i="32"/>
  <c r="Z50" i="32"/>
  <c r="L52" i="42"/>
  <c r="N52" i="42"/>
  <c r="P54" i="42"/>
  <c r="L48" i="28"/>
  <c r="J48" i="34"/>
  <c r="N48" i="34" s="1"/>
  <c r="P48" i="48"/>
  <c r="P52" i="46"/>
  <c r="L53" i="46"/>
  <c r="N53" i="46"/>
  <c r="N52" i="34"/>
  <c r="P53" i="42"/>
  <c r="N53" i="42"/>
  <c r="J45" i="42"/>
  <c r="L45" i="42" s="1"/>
  <c r="J50" i="42"/>
  <c r="P50" i="42" s="1"/>
  <c r="J51" i="42"/>
  <c r="L51" i="42" s="1"/>
  <c r="J46" i="40"/>
  <c r="N46" i="40" s="1"/>
  <c r="L54" i="42"/>
  <c r="I51" i="14"/>
  <c r="I52" i="16"/>
  <c r="I48" i="24"/>
  <c r="L48" i="24" s="1"/>
  <c r="J50" i="34"/>
  <c r="N50" i="34" s="1"/>
  <c r="J51" i="50"/>
  <c r="N51" i="50" s="1"/>
  <c r="J49" i="34"/>
  <c r="P49" i="34" s="1"/>
  <c r="J45" i="50"/>
  <c r="P45" i="50" s="1"/>
  <c r="J52" i="50"/>
  <c r="N52" i="50" s="1"/>
  <c r="J49" i="48"/>
  <c r="P49" i="48" s="1"/>
  <c r="J51" i="46"/>
  <c r="P51" i="46" s="1"/>
  <c r="J48" i="36"/>
  <c r="N48" i="36" s="1"/>
  <c r="J48" i="38"/>
  <c r="P48" i="38" s="1"/>
  <c r="J48" i="46"/>
  <c r="N48" i="46" s="1"/>
  <c r="J53" i="34"/>
  <c r="N53" i="34" s="1"/>
  <c r="J45" i="36"/>
  <c r="P45" i="36" s="1"/>
  <c r="J49" i="40"/>
  <c r="P49" i="40" s="1"/>
  <c r="P51" i="48"/>
  <c r="J46" i="36"/>
  <c r="P46" i="36" s="1"/>
  <c r="J46" i="38"/>
  <c r="N46" i="38" s="1"/>
  <c r="J46" i="46"/>
  <c r="N46" i="46" s="1"/>
  <c r="I52" i="14"/>
  <c r="J45" i="44"/>
  <c r="J49" i="44"/>
  <c r="L50" i="28"/>
  <c r="I51" i="16"/>
  <c r="L51" i="16" s="1"/>
  <c r="I48" i="18"/>
  <c r="L48" i="18" s="1"/>
  <c r="I48" i="22"/>
  <c r="L48" i="22" s="1"/>
  <c r="I48" i="26"/>
  <c r="L48" i="26" s="1"/>
  <c r="J50" i="36"/>
  <c r="N50" i="36" s="1"/>
  <c r="J50" i="38"/>
  <c r="N50" i="38" s="1"/>
  <c r="J49" i="50"/>
  <c r="P49" i="50" s="1"/>
  <c r="J53" i="50"/>
  <c r="N53" i="50" s="1"/>
  <c r="J45" i="34"/>
  <c r="P45" i="34" s="1"/>
  <c r="J51" i="34"/>
  <c r="L51" i="34" s="1"/>
  <c r="J51" i="38"/>
  <c r="N51" i="38" s="1"/>
  <c r="J46" i="50"/>
  <c r="L46" i="50" s="1"/>
  <c r="J50" i="50"/>
  <c r="N50" i="50" s="1"/>
  <c r="J54" i="50"/>
  <c r="L54" i="50" s="1"/>
  <c r="J51" i="36"/>
  <c r="P51" i="36" s="1"/>
  <c r="J45" i="48"/>
  <c r="L45" i="48" s="1"/>
  <c r="J49" i="46"/>
  <c r="P49" i="46" s="1"/>
  <c r="J51" i="40"/>
  <c r="N51" i="40" s="1"/>
  <c r="L59" i="28"/>
  <c r="M25" i="29" s="1"/>
  <c r="N19" i="3" s="1"/>
  <c r="P62" i="42"/>
  <c r="L62" i="42"/>
  <c r="N62" i="42"/>
  <c r="P60" i="46"/>
  <c r="N60" i="46"/>
  <c r="L60" i="46"/>
  <c r="L61" i="46"/>
  <c r="P61" i="46"/>
  <c r="N61" i="46"/>
  <c r="P62" i="48"/>
  <c r="N62" i="48"/>
  <c r="L62" i="48"/>
  <c r="P60" i="36"/>
  <c r="N60" i="36"/>
  <c r="L60" i="36"/>
  <c r="L61" i="36"/>
  <c r="P61" i="36"/>
  <c r="N61" i="36"/>
  <c r="L60" i="38"/>
  <c r="P60" i="38"/>
  <c r="N60" i="38"/>
  <c r="P30" i="42"/>
  <c r="N30" i="42"/>
  <c r="L30" i="42"/>
  <c r="L29" i="46"/>
  <c r="P29" i="46"/>
  <c r="N29" i="46"/>
  <c r="P30" i="38"/>
  <c r="N30" i="38"/>
  <c r="L30" i="38"/>
  <c r="P30" i="36"/>
  <c r="N30" i="36"/>
  <c r="L30" i="36"/>
  <c r="L60" i="40"/>
  <c r="P60" i="40"/>
  <c r="N60" i="40"/>
  <c r="V61" i="32"/>
  <c r="O59" i="32" s="1"/>
  <c r="P25" i="33" s="1"/>
  <c r="W61" i="32"/>
  <c r="P59" i="32" s="1"/>
  <c r="Q25" i="33" s="1"/>
  <c r="L61" i="32"/>
  <c r="L59" i="32" s="1"/>
  <c r="M25" i="33" s="1"/>
  <c r="P19" i="3" s="1"/>
  <c r="T61" i="32"/>
  <c r="M59" i="32" s="1"/>
  <c r="N25" i="33" s="1"/>
  <c r="U61" i="32"/>
  <c r="N59" i="32" s="1"/>
  <c r="O25" i="33" s="1"/>
  <c r="P62" i="34"/>
  <c r="N62" i="34"/>
  <c r="L62" i="34"/>
  <c r="N60" i="50"/>
  <c r="L60" i="50"/>
  <c r="P60" i="50"/>
  <c r="P61" i="50"/>
  <c r="N61" i="50"/>
  <c r="L61" i="50"/>
  <c r="N30" i="40"/>
  <c r="L30" i="40"/>
  <c r="P30" i="40"/>
  <c r="N29" i="48"/>
  <c r="L29" i="48"/>
  <c r="P29" i="48"/>
  <c r="N29" i="34"/>
  <c r="L29" i="34"/>
  <c r="P29" i="34"/>
  <c r="N60" i="42"/>
  <c r="L60" i="42"/>
  <c r="P60" i="42"/>
  <c r="P62" i="46"/>
  <c r="L62" i="46"/>
  <c r="N62" i="46"/>
  <c r="N60" i="48"/>
  <c r="L60" i="48"/>
  <c r="P60" i="48"/>
  <c r="P61" i="48"/>
  <c r="N61" i="48"/>
  <c r="L61" i="48"/>
  <c r="L62" i="36"/>
  <c r="P62" i="36"/>
  <c r="N62" i="36"/>
  <c r="N62" i="38"/>
  <c r="P62" i="38"/>
  <c r="L62" i="38"/>
  <c r="N29" i="42"/>
  <c r="L29" i="42"/>
  <c r="L27" i="42" s="1"/>
  <c r="M19" i="43" s="1"/>
  <c r="AE15" i="3" s="1"/>
  <c r="P29" i="42"/>
  <c r="P27" i="42" s="1"/>
  <c r="O19" i="43" s="1"/>
  <c r="AG15" i="3" s="1"/>
  <c r="P30" i="46"/>
  <c r="P27" i="46" s="1"/>
  <c r="O19" i="47" s="1"/>
  <c r="AM15" i="3" s="1"/>
  <c r="L30" i="46"/>
  <c r="N30" i="46"/>
  <c r="N27" i="46" s="1"/>
  <c r="N19" i="47" s="1"/>
  <c r="AL15" i="3" s="1"/>
  <c r="N29" i="38"/>
  <c r="L29" i="38"/>
  <c r="P29" i="38"/>
  <c r="L29" i="36"/>
  <c r="L27" i="36" s="1"/>
  <c r="M19" i="37" s="1"/>
  <c r="V15" i="3" s="1"/>
  <c r="P29" i="36"/>
  <c r="N29" i="36"/>
  <c r="L62" i="40"/>
  <c r="P62" i="40"/>
  <c r="N62" i="40"/>
  <c r="V62" i="30"/>
  <c r="O59" i="30" s="1"/>
  <c r="P25" i="31" s="1"/>
  <c r="L62" i="30"/>
  <c r="L59" i="30" s="1"/>
  <c r="M25" i="31" s="1"/>
  <c r="O19" i="3" s="1"/>
  <c r="N60" i="34"/>
  <c r="L60" i="34"/>
  <c r="P60" i="34"/>
  <c r="L61" i="34"/>
  <c r="P61" i="34"/>
  <c r="N61" i="34"/>
  <c r="L62" i="50"/>
  <c r="N62" i="50"/>
  <c r="P62" i="50"/>
  <c r="N29" i="40"/>
  <c r="L29" i="40"/>
  <c r="P29" i="40"/>
  <c r="P30" i="48"/>
  <c r="P27" i="48" s="1"/>
  <c r="O19" i="49" s="1"/>
  <c r="AP15" i="3" s="1"/>
  <c r="N30" i="48"/>
  <c r="L30" i="48"/>
  <c r="L30" i="34"/>
  <c r="L27" i="34" s="1"/>
  <c r="M19" i="35" s="1"/>
  <c r="S15" i="3" s="1"/>
  <c r="P30" i="34"/>
  <c r="P27" i="34" s="1"/>
  <c r="O19" i="35" s="1"/>
  <c r="U15" i="3" s="1"/>
  <c r="N30" i="34"/>
  <c r="P52" i="34"/>
  <c r="AA50" i="28"/>
  <c r="N43" i="28" s="1"/>
  <c r="O24" i="29" s="1"/>
  <c r="N54" i="40"/>
  <c r="L54" i="40"/>
  <c r="P54" i="40"/>
  <c r="P45" i="40"/>
  <c r="L45" i="40"/>
  <c r="N55" i="42"/>
  <c r="L55" i="42"/>
  <c r="P55" i="42"/>
  <c r="N52" i="40"/>
  <c r="L52" i="40"/>
  <c r="P52" i="40"/>
  <c r="N48" i="42"/>
  <c r="L48" i="42"/>
  <c r="P48" i="42"/>
  <c r="N46" i="42"/>
  <c r="L46" i="42"/>
  <c r="P46" i="42"/>
  <c r="N50" i="40"/>
  <c r="P50" i="40"/>
  <c r="L50" i="40"/>
  <c r="N47" i="42"/>
  <c r="P47" i="42"/>
  <c r="L47" i="42"/>
  <c r="N53" i="40"/>
  <c r="P53" i="40"/>
  <c r="L53" i="40"/>
  <c r="P45" i="42"/>
  <c r="N55" i="40"/>
  <c r="L55" i="40"/>
  <c r="P55" i="40"/>
  <c r="N48" i="40"/>
  <c r="L48" i="40"/>
  <c r="P48" i="40"/>
  <c r="L46" i="40"/>
  <c r="N47" i="40"/>
  <c r="P47" i="40"/>
  <c r="L47" i="40"/>
  <c r="N52" i="38"/>
  <c r="P52" i="38"/>
  <c r="L52" i="38"/>
  <c r="N47" i="34"/>
  <c r="L47" i="34"/>
  <c r="P47" i="34"/>
  <c r="P47" i="36"/>
  <c r="N47" i="36"/>
  <c r="L47" i="36"/>
  <c r="N47" i="50"/>
  <c r="L47" i="50"/>
  <c r="P47" i="50"/>
  <c r="N55" i="50"/>
  <c r="L55" i="50"/>
  <c r="P55" i="50"/>
  <c r="N48" i="50"/>
  <c r="L48" i="50"/>
  <c r="P48" i="50"/>
  <c r="P45" i="46"/>
  <c r="L45" i="46"/>
  <c r="N54" i="38"/>
  <c r="P54" i="38"/>
  <c r="L54" i="38"/>
  <c r="L54" i="48"/>
  <c r="N54" i="48"/>
  <c r="P54" i="48"/>
  <c r="L48" i="36"/>
  <c r="P48" i="46"/>
  <c r="N46" i="34"/>
  <c r="L46" i="34"/>
  <c r="P46" i="34"/>
  <c r="N46" i="48"/>
  <c r="L46" i="48"/>
  <c r="P46" i="48"/>
  <c r="N54" i="34"/>
  <c r="L54" i="34"/>
  <c r="P54" i="34"/>
  <c r="AB46" i="32"/>
  <c r="AC46" i="32"/>
  <c r="Z46" i="32"/>
  <c r="L46" i="32"/>
  <c r="AA46" i="32"/>
  <c r="N53" i="38"/>
  <c r="P53" i="38"/>
  <c r="L53" i="38"/>
  <c r="P45" i="38"/>
  <c r="L45" i="38"/>
  <c r="N55" i="48"/>
  <c r="L55" i="48"/>
  <c r="P55" i="48"/>
  <c r="N55" i="38"/>
  <c r="P55" i="38"/>
  <c r="L55" i="38"/>
  <c r="AC47" i="32"/>
  <c r="Z47" i="32"/>
  <c r="AB47" i="32"/>
  <c r="L47" i="32"/>
  <c r="AA47" i="32"/>
  <c r="AA48" i="30"/>
  <c r="Z48" i="30"/>
  <c r="AB48" i="30"/>
  <c r="L48" i="30"/>
  <c r="AA50" i="30"/>
  <c r="Z50" i="30"/>
  <c r="AB50" i="30"/>
  <c r="L50" i="30"/>
  <c r="P52" i="36"/>
  <c r="N52" i="36"/>
  <c r="L52" i="36"/>
  <c r="N50" i="48"/>
  <c r="L50" i="48"/>
  <c r="P50" i="48"/>
  <c r="N47" i="38"/>
  <c r="P47" i="38"/>
  <c r="L47" i="38"/>
  <c r="P51" i="38"/>
  <c r="P54" i="36"/>
  <c r="N54" i="36"/>
  <c r="L54" i="36"/>
  <c r="N52" i="48"/>
  <c r="L52" i="48"/>
  <c r="P52" i="48"/>
  <c r="L54" i="46"/>
  <c r="N54" i="46"/>
  <c r="P54" i="46"/>
  <c r="N47" i="48"/>
  <c r="L47" i="48"/>
  <c r="P47" i="48"/>
  <c r="L53" i="48"/>
  <c r="N53" i="48"/>
  <c r="P53" i="48"/>
  <c r="N55" i="46"/>
  <c r="P55" i="46"/>
  <c r="L55" i="46"/>
  <c r="P53" i="36"/>
  <c r="N53" i="36"/>
  <c r="L53" i="36"/>
  <c r="P55" i="34"/>
  <c r="L55" i="34"/>
  <c r="N55" i="34"/>
  <c r="AB47" i="30"/>
  <c r="AA47" i="30"/>
  <c r="Z47" i="30"/>
  <c r="L47" i="30"/>
  <c r="AA48" i="32"/>
  <c r="AC48" i="32"/>
  <c r="L48" i="32"/>
  <c r="AB48" i="32"/>
  <c r="Z48" i="32"/>
  <c r="AB52" i="20"/>
  <c r="Z52" i="20"/>
  <c r="AC52" i="20"/>
  <c r="AA52" i="20"/>
  <c r="L51" i="20"/>
  <c r="AA51" i="20"/>
  <c r="Z51" i="20"/>
  <c r="L53" i="20"/>
  <c r="AC53" i="20"/>
  <c r="AA53" i="20"/>
  <c r="AB53" i="20"/>
  <c r="Z53" i="20"/>
  <c r="L54" i="20"/>
  <c r="AB54" i="20"/>
  <c r="Z54" i="20"/>
  <c r="AC54" i="20"/>
  <c r="AA54" i="20"/>
  <c r="L50" i="18"/>
  <c r="Z50" i="18"/>
  <c r="AA50" i="18"/>
  <c r="AB50" i="18"/>
  <c r="AA52" i="18"/>
  <c r="AB52" i="18"/>
  <c r="Z52" i="18"/>
  <c r="L51" i="18"/>
  <c r="Z51" i="18"/>
  <c r="AA51" i="18"/>
  <c r="L53" i="18"/>
  <c r="AB53" i="18"/>
  <c r="Z53" i="18"/>
  <c r="AA53" i="18"/>
  <c r="L54" i="18"/>
  <c r="AA54" i="18"/>
  <c r="AB54" i="18"/>
  <c r="Z54" i="18"/>
  <c r="V62" i="24"/>
  <c r="O59" i="24" s="1"/>
  <c r="P25" i="25" s="1"/>
  <c r="U62" i="24"/>
  <c r="N59" i="24" s="1"/>
  <c r="O25" i="25" s="1"/>
  <c r="T62" i="24"/>
  <c r="M59" i="24" s="1"/>
  <c r="N25" i="25" s="1"/>
  <c r="L62" i="24"/>
  <c r="L59" i="24" s="1"/>
  <c r="M25" i="25" s="1"/>
  <c r="L19" i="3" s="1"/>
  <c r="T62" i="18"/>
  <c r="M59" i="18" s="1"/>
  <c r="N25" i="19" s="1"/>
  <c r="L62" i="18"/>
  <c r="L59" i="18" s="1"/>
  <c r="M25" i="19" s="1"/>
  <c r="G19" i="3" s="1"/>
  <c r="V62" i="18"/>
  <c r="O59" i="18" s="1"/>
  <c r="P25" i="19" s="1"/>
  <c r="U62" i="18"/>
  <c r="N59" i="18" s="1"/>
  <c r="O25" i="19" s="1"/>
  <c r="W62" i="26"/>
  <c r="T62" i="26"/>
  <c r="V62" i="26"/>
  <c r="U62" i="26"/>
  <c r="L62" i="26"/>
  <c r="L62" i="20"/>
  <c r="T62" i="20"/>
  <c r="U62" i="20"/>
  <c r="W62" i="20"/>
  <c r="V62" i="20"/>
  <c r="U62" i="22"/>
  <c r="N59" i="22" s="1"/>
  <c r="O25" i="23" s="1"/>
  <c r="T62" i="22"/>
  <c r="M59" i="22" s="1"/>
  <c r="N25" i="23" s="1"/>
  <c r="L62" i="22"/>
  <c r="L59" i="22" s="1"/>
  <c r="M25" i="23" s="1"/>
  <c r="K19" i="3" s="1"/>
  <c r="V61" i="26"/>
  <c r="U61" i="26"/>
  <c r="W61" i="26"/>
  <c r="T61" i="26"/>
  <c r="L61" i="26"/>
  <c r="T61" i="20"/>
  <c r="U61" i="20"/>
  <c r="L61" i="20"/>
  <c r="V61" i="20"/>
  <c r="W61" i="20"/>
  <c r="T61" i="16"/>
  <c r="M59" i="16" s="1"/>
  <c r="N25" i="17" s="1"/>
  <c r="U61" i="16"/>
  <c r="N59" i="16" s="1"/>
  <c r="O25" i="17" s="1"/>
  <c r="L61" i="16"/>
  <c r="L59" i="16" s="1"/>
  <c r="M25" i="17" s="1"/>
  <c r="F19" i="3" s="1"/>
  <c r="V61" i="16"/>
  <c r="O59" i="16" s="1"/>
  <c r="P25" i="17" s="1"/>
  <c r="W61" i="16"/>
  <c r="P59" i="16" s="1"/>
  <c r="Q25" i="17" s="1"/>
  <c r="AA52" i="24"/>
  <c r="Z52" i="24"/>
  <c r="AB52" i="24"/>
  <c r="Z53" i="22"/>
  <c r="AA53" i="22"/>
  <c r="L53" i="22"/>
  <c r="AC53" i="26"/>
  <c r="Z53" i="26"/>
  <c r="L53" i="26"/>
  <c r="AA53" i="26"/>
  <c r="AB53" i="26"/>
  <c r="Z51" i="28"/>
  <c r="L51" i="28"/>
  <c r="AA47" i="16"/>
  <c r="AC47" i="16"/>
  <c r="Z47" i="16"/>
  <c r="AB47" i="16"/>
  <c r="L47" i="16"/>
  <c r="AA46" i="24"/>
  <c r="Z46" i="24"/>
  <c r="L46" i="24"/>
  <c r="AB46" i="24"/>
  <c r="AB46" i="18"/>
  <c r="L46" i="18"/>
  <c r="AA46" i="18"/>
  <c r="Z46" i="18"/>
  <c r="AA46" i="26"/>
  <c r="AC46" i="26"/>
  <c r="Z46" i="26"/>
  <c r="L46" i="26"/>
  <c r="AB46" i="26"/>
  <c r="AA51" i="24"/>
  <c r="Z51" i="24"/>
  <c r="L51" i="24"/>
  <c r="AB51" i="24"/>
  <c r="AA50" i="26"/>
  <c r="L50" i="26"/>
  <c r="Z50" i="26"/>
  <c r="AC50" i="26"/>
  <c r="AB50" i="26"/>
  <c r="AA50" i="24"/>
  <c r="L50" i="24"/>
  <c r="AB50" i="24"/>
  <c r="Z50" i="24"/>
  <c r="AA47" i="22"/>
  <c r="Z47" i="22"/>
  <c r="L47" i="22"/>
  <c r="Z47" i="28"/>
  <c r="L47" i="28"/>
  <c r="AB47" i="20"/>
  <c r="AC47" i="20"/>
  <c r="Z47" i="20"/>
  <c r="L47" i="20"/>
  <c r="AA47" i="20"/>
  <c r="AC50" i="20"/>
  <c r="Z50" i="20"/>
  <c r="AB50" i="20"/>
  <c r="AA50" i="20"/>
  <c r="L50" i="20"/>
  <c r="AA52" i="22"/>
  <c r="Z52" i="22"/>
  <c r="AA52" i="26"/>
  <c r="AC52" i="26"/>
  <c r="Z52" i="26"/>
  <c r="AB52" i="26"/>
  <c r="Z53" i="24"/>
  <c r="AA53" i="24"/>
  <c r="AB53" i="24"/>
  <c r="L53" i="24"/>
  <c r="AB46" i="20"/>
  <c r="L46" i="20"/>
  <c r="AA46" i="20"/>
  <c r="AC46" i="20"/>
  <c r="Z46" i="20"/>
  <c r="Z46" i="28"/>
  <c r="L46" i="28"/>
  <c r="AA46" i="22"/>
  <c r="L46" i="22"/>
  <c r="Z46" i="22"/>
  <c r="Z51" i="22"/>
  <c r="L51" i="22"/>
  <c r="AA51" i="22"/>
  <c r="AA51" i="26"/>
  <c r="AC51" i="26"/>
  <c r="Z51" i="26"/>
  <c r="L51" i="26"/>
  <c r="AB51" i="26"/>
  <c r="AA50" i="22"/>
  <c r="Z50" i="22"/>
  <c r="L50" i="22"/>
  <c r="AA46" i="16"/>
  <c r="L46" i="16"/>
  <c r="Z46" i="16"/>
  <c r="AB46" i="16"/>
  <c r="AC46" i="16"/>
  <c r="AA47" i="24"/>
  <c r="Z47" i="24"/>
  <c r="L47" i="24"/>
  <c r="AB47" i="24"/>
  <c r="AB47" i="18"/>
  <c r="AA47" i="18"/>
  <c r="Z47" i="18"/>
  <c r="L47" i="18"/>
  <c r="AA47" i="26"/>
  <c r="L47" i="26"/>
  <c r="Z47" i="26"/>
  <c r="AC47" i="26"/>
  <c r="AB47" i="26"/>
  <c r="AC50" i="16"/>
  <c r="P43" i="16" s="1"/>
  <c r="Q24" i="17" s="1"/>
  <c r="Z50" i="16"/>
  <c r="AB50" i="16"/>
  <c r="AA50" i="16"/>
  <c r="L50" i="16"/>
  <c r="B11" i="4"/>
  <c r="N11" i="4"/>
  <c r="M11" i="4"/>
  <c r="L11" i="4"/>
  <c r="D11" i="4"/>
  <c r="E11" i="4"/>
  <c r="F11" i="4"/>
  <c r="H11" i="4"/>
  <c r="I11" i="4"/>
  <c r="K11" i="4"/>
  <c r="C11" i="4"/>
  <c r="N48" i="38" l="1"/>
  <c r="P51" i="42"/>
  <c r="P42" i="42" s="1"/>
  <c r="O24" i="43" s="1"/>
  <c r="L45" i="36"/>
  <c r="P46" i="38"/>
  <c r="L50" i="42"/>
  <c r="L48" i="34"/>
  <c r="P48" i="36"/>
  <c r="L45" i="50"/>
  <c r="L51" i="50"/>
  <c r="N50" i="42"/>
  <c r="N51" i="36"/>
  <c r="L45" i="34"/>
  <c r="L50" i="36"/>
  <c r="L53" i="34"/>
  <c r="L46" i="46"/>
  <c r="N46" i="36"/>
  <c r="P48" i="34"/>
  <c r="P45" i="48"/>
  <c r="P42" i="48" s="1"/>
  <c r="O24" i="49" s="1"/>
  <c r="AP18" i="3" s="1"/>
  <c r="N54" i="50"/>
  <c r="N51" i="34"/>
  <c r="N42" i="34" s="1"/>
  <c r="N24" i="35" s="1"/>
  <c r="T18" i="3" s="1"/>
  <c r="N51" i="46"/>
  <c r="N42" i="46" s="1"/>
  <c r="N24" i="47" s="1"/>
  <c r="AL18" i="3" s="1"/>
  <c r="N51" i="42"/>
  <c r="N42" i="42" s="1"/>
  <c r="N24" i="43" s="1"/>
  <c r="P50" i="36"/>
  <c r="P42" i="36" s="1"/>
  <c r="O24" i="37" s="1"/>
  <c r="X18" i="3" s="1"/>
  <c r="P46" i="50"/>
  <c r="P51" i="34"/>
  <c r="P50" i="38"/>
  <c r="P42" i="38" s="1"/>
  <c r="O24" i="39" s="1"/>
  <c r="L48" i="38"/>
  <c r="L51" i="46"/>
  <c r="L50" i="34"/>
  <c r="L46" i="38"/>
  <c r="L51" i="36"/>
  <c r="L50" i="50"/>
  <c r="L51" i="38"/>
  <c r="L48" i="46"/>
  <c r="P46" i="40"/>
  <c r="N43" i="30"/>
  <c r="O24" i="31" s="1"/>
  <c r="L51" i="40"/>
  <c r="L42" i="40" s="1"/>
  <c r="M24" i="41" s="1"/>
  <c r="L58" i="42"/>
  <c r="M25" i="43" s="1"/>
  <c r="AE19" i="3" s="1"/>
  <c r="M43" i="30"/>
  <c r="N24" i="31" s="1"/>
  <c r="P50" i="50"/>
  <c r="P51" i="50"/>
  <c r="P54" i="50"/>
  <c r="N46" i="50"/>
  <c r="N42" i="50" s="1"/>
  <c r="N24" i="51" s="1"/>
  <c r="L53" i="50"/>
  <c r="L52" i="50"/>
  <c r="P53" i="34"/>
  <c r="P46" i="46"/>
  <c r="P42" i="46" s="1"/>
  <c r="O24" i="47" s="1"/>
  <c r="L46" i="36"/>
  <c r="P53" i="50"/>
  <c r="L50" i="38"/>
  <c r="P52" i="50"/>
  <c r="P50" i="34"/>
  <c r="P51" i="40"/>
  <c r="P27" i="40"/>
  <c r="O19" i="41" s="1"/>
  <c r="AD15" i="3" s="1"/>
  <c r="N27" i="40"/>
  <c r="N19" i="41" s="1"/>
  <c r="AC15" i="3" s="1"/>
  <c r="N27" i="38"/>
  <c r="N19" i="39" s="1"/>
  <c r="Z15" i="3" s="1"/>
  <c r="L27" i="46"/>
  <c r="M19" i="47" s="1"/>
  <c r="AK15" i="3" s="1"/>
  <c r="N27" i="42"/>
  <c r="N19" i="43" s="1"/>
  <c r="AF15" i="3" s="1"/>
  <c r="P58" i="42"/>
  <c r="O25" i="43" s="1"/>
  <c r="AG19" i="3" s="1"/>
  <c r="N58" i="42"/>
  <c r="N25" i="43" s="1"/>
  <c r="AF19" i="3" s="1"/>
  <c r="L27" i="40"/>
  <c r="M19" i="41" s="1"/>
  <c r="AB15" i="3" s="1"/>
  <c r="P58" i="48"/>
  <c r="O25" i="49" s="1"/>
  <c r="AP19" i="3" s="1"/>
  <c r="P58" i="34"/>
  <c r="O25" i="35" s="1"/>
  <c r="U19" i="3" s="1"/>
  <c r="N58" i="34"/>
  <c r="N25" i="35" s="1"/>
  <c r="T19" i="3" s="1"/>
  <c r="L58" i="48"/>
  <c r="M25" i="49" s="1"/>
  <c r="AN19" i="3" s="1"/>
  <c r="N27" i="34"/>
  <c r="N19" i="35" s="1"/>
  <c r="T15" i="3" s="1"/>
  <c r="L27" i="48"/>
  <c r="M19" i="49" s="1"/>
  <c r="AN15" i="3" s="1"/>
  <c r="P58" i="50"/>
  <c r="O25" i="51" s="1"/>
  <c r="N58" i="50"/>
  <c r="N25" i="51" s="1"/>
  <c r="N58" i="40"/>
  <c r="N25" i="41" s="1"/>
  <c r="AC19" i="3" s="1"/>
  <c r="L58" i="40"/>
  <c r="M25" i="41" s="1"/>
  <c r="AB19" i="3" s="1"/>
  <c r="N27" i="36"/>
  <c r="N19" i="37" s="1"/>
  <c r="W15" i="3" s="1"/>
  <c r="L27" i="38"/>
  <c r="M19" i="39" s="1"/>
  <c r="Y15" i="3" s="1"/>
  <c r="P27" i="38"/>
  <c r="O19" i="39" s="1"/>
  <c r="AA15" i="3" s="1"/>
  <c r="P58" i="38"/>
  <c r="O25" i="39" s="1"/>
  <c r="AA19" i="3" s="1"/>
  <c r="N58" i="36"/>
  <c r="N25" i="37" s="1"/>
  <c r="W19" i="3" s="1"/>
  <c r="L58" i="46"/>
  <c r="M25" i="47" s="1"/>
  <c r="AK19" i="3" s="1"/>
  <c r="P58" i="46"/>
  <c r="O25" i="47" s="1"/>
  <c r="AM19" i="3" s="1"/>
  <c r="L58" i="34"/>
  <c r="M25" i="35" s="1"/>
  <c r="S19" i="3" s="1"/>
  <c r="N58" i="48"/>
  <c r="N25" i="49" s="1"/>
  <c r="AO19" i="3" s="1"/>
  <c r="N27" i="48"/>
  <c r="N19" i="49" s="1"/>
  <c r="AO15" i="3" s="1"/>
  <c r="L58" i="50"/>
  <c r="M25" i="51" s="1"/>
  <c r="P58" i="40"/>
  <c r="O25" i="41" s="1"/>
  <c r="AD19" i="3" s="1"/>
  <c r="P27" i="36"/>
  <c r="O19" i="37" s="1"/>
  <c r="X15" i="3" s="1"/>
  <c r="N58" i="38"/>
  <c r="N25" i="39" s="1"/>
  <c r="Z19" i="3" s="1"/>
  <c r="L58" i="38"/>
  <c r="M25" i="39" s="1"/>
  <c r="Y19" i="3" s="1"/>
  <c r="L58" i="36"/>
  <c r="M25" i="37" s="1"/>
  <c r="V19" i="3" s="1"/>
  <c r="P58" i="36"/>
  <c r="O25" i="37" s="1"/>
  <c r="X19" i="3" s="1"/>
  <c r="N58" i="46"/>
  <c r="N25" i="47" s="1"/>
  <c r="AL19" i="3" s="1"/>
  <c r="P43" i="32"/>
  <c r="Q24" i="33" s="1"/>
  <c r="O43" i="30"/>
  <c r="P24" i="31" s="1"/>
  <c r="O43" i="16"/>
  <c r="P24" i="17" s="1"/>
  <c r="M43" i="28"/>
  <c r="L43" i="28" s="1"/>
  <c r="M24" i="29" s="1"/>
  <c r="N18" i="3" s="1"/>
  <c r="O43" i="20"/>
  <c r="P24" i="21" s="1"/>
  <c r="N42" i="48"/>
  <c r="N24" i="49" s="1"/>
  <c r="AO18" i="3" s="1"/>
  <c r="N42" i="40"/>
  <c r="N24" i="41" s="1"/>
  <c r="L42" i="42"/>
  <c r="M24" i="43" s="1"/>
  <c r="N42" i="38"/>
  <c r="N24" i="39" s="1"/>
  <c r="L42" i="48"/>
  <c r="M24" i="49" s="1"/>
  <c r="N43" i="32"/>
  <c r="O24" i="33" s="1"/>
  <c r="M43" i="32"/>
  <c r="O43" i="32"/>
  <c r="P24" i="33" s="1"/>
  <c r="M43" i="22"/>
  <c r="N24" i="23" s="1"/>
  <c r="N43" i="24"/>
  <c r="O24" i="25" s="1"/>
  <c r="O59" i="20"/>
  <c r="P25" i="21" s="1"/>
  <c r="N59" i="20"/>
  <c r="O25" i="21" s="1"/>
  <c r="L59" i="20"/>
  <c r="M25" i="21" s="1"/>
  <c r="H19" i="3" s="1"/>
  <c r="N59" i="26"/>
  <c r="O25" i="27" s="1"/>
  <c r="M59" i="26"/>
  <c r="N25" i="27" s="1"/>
  <c r="P59" i="20"/>
  <c r="Q25" i="21" s="1"/>
  <c r="M59" i="20"/>
  <c r="N25" i="21" s="1"/>
  <c r="L59" i="26"/>
  <c r="M25" i="27" s="1"/>
  <c r="M19" i="3" s="1"/>
  <c r="O59" i="26"/>
  <c r="P25" i="27" s="1"/>
  <c r="P59" i="26"/>
  <c r="Q25" i="27" s="1"/>
  <c r="N43" i="16"/>
  <c r="O24" i="17" s="1"/>
  <c r="M43" i="16"/>
  <c r="N43" i="22"/>
  <c r="O24" i="23" s="1"/>
  <c r="O43" i="24"/>
  <c r="P24" i="25" s="1"/>
  <c r="M43" i="24"/>
  <c r="N43" i="20"/>
  <c r="O24" i="21" s="1"/>
  <c r="M43" i="20"/>
  <c r="M43" i="18"/>
  <c r="N43" i="26"/>
  <c r="O24" i="27" s="1"/>
  <c r="M43" i="26"/>
  <c r="P43" i="20"/>
  <c r="Q24" i="21" s="1"/>
  <c r="N43" i="18"/>
  <c r="O24" i="19" s="1"/>
  <c r="O43" i="18"/>
  <c r="P24" i="19" s="1"/>
  <c r="O43" i="26"/>
  <c r="P24" i="27" s="1"/>
  <c r="P43" i="26"/>
  <c r="Q24" i="27" s="1"/>
  <c r="F3" i="45"/>
  <c r="F3" i="15"/>
  <c r="B5" i="1"/>
  <c r="N42" i="36" l="1"/>
  <c r="N24" i="37" s="1"/>
  <c r="L42" i="46"/>
  <c r="M24" i="47" s="1"/>
  <c r="AK18" i="3" s="1"/>
  <c r="P42" i="40"/>
  <c r="O24" i="41" s="1"/>
  <c r="L42" i="34"/>
  <c r="M24" i="35" s="1"/>
  <c r="S18" i="3" s="1"/>
  <c r="L42" i="36"/>
  <c r="M24" i="37" s="1"/>
  <c r="V18" i="3" s="1"/>
  <c r="P42" i="34"/>
  <c r="O24" i="35" s="1"/>
  <c r="U18" i="3" s="1"/>
  <c r="N24" i="29"/>
  <c r="L42" i="38"/>
  <c r="M24" i="39" s="1"/>
  <c r="Y18" i="3" s="1"/>
  <c r="L42" i="50"/>
  <c r="M24" i="51" s="1"/>
  <c r="P42" i="50"/>
  <c r="O24" i="51" s="1"/>
  <c r="L43" i="30"/>
  <c r="M24" i="31" s="1"/>
  <c r="O18" i="3" s="1"/>
  <c r="L43" i="22"/>
  <c r="M24" i="23" s="1"/>
  <c r="K18" i="3" s="1"/>
  <c r="AB18" i="3"/>
  <c r="AE18" i="3"/>
  <c r="AG18" i="3"/>
  <c r="AF18" i="3"/>
  <c r="AD18" i="3"/>
  <c r="AC18" i="3"/>
  <c r="N24" i="33"/>
  <c r="L43" i="32"/>
  <c r="M24" i="33" s="1"/>
  <c r="AA18" i="3"/>
  <c r="AM18" i="3"/>
  <c r="AN18" i="3"/>
  <c r="Z18" i="3"/>
  <c r="W18" i="3"/>
  <c r="N24" i="21"/>
  <c r="L43" i="20"/>
  <c r="M24" i="21" s="1"/>
  <c r="H18" i="3" s="1"/>
  <c r="N24" i="25"/>
  <c r="L43" i="24"/>
  <c r="M24" i="25" s="1"/>
  <c r="L18" i="3" s="1"/>
  <c r="N24" i="27"/>
  <c r="L43" i="26"/>
  <c r="M24" i="27" s="1"/>
  <c r="M18" i="3" s="1"/>
  <c r="N24" i="19"/>
  <c r="L43" i="18"/>
  <c r="M24" i="19" s="1"/>
  <c r="G18" i="3" s="1"/>
  <c r="N24" i="17"/>
  <c r="L43" i="16"/>
  <c r="M24" i="17" s="1"/>
  <c r="F18" i="3" s="1"/>
  <c r="P54" i="1"/>
  <c r="P53" i="1"/>
  <c r="P51" i="1"/>
  <c r="P50" i="1"/>
  <c r="P49" i="1"/>
  <c r="P48" i="1"/>
  <c r="P47" i="1"/>
  <c r="P46" i="1"/>
  <c r="P44" i="1"/>
  <c r="P43" i="1"/>
  <c r="P41" i="1"/>
  <c r="P40" i="1"/>
  <c r="P39" i="1"/>
  <c r="P38" i="1"/>
  <c r="P37" i="1"/>
  <c r="P36" i="1"/>
  <c r="P35" i="1"/>
  <c r="P34" i="1"/>
  <c r="P33" i="1"/>
  <c r="P32" i="1"/>
  <c r="P31" i="1"/>
  <c r="P30" i="1"/>
  <c r="P29" i="1"/>
  <c r="P27" i="1"/>
  <c r="P26" i="1"/>
  <c r="P25" i="1"/>
  <c r="P24" i="1"/>
  <c r="P18" i="3" l="1"/>
  <c r="C28" i="45"/>
  <c r="J40" i="3" l="1"/>
  <c r="J21" i="3"/>
  <c r="J13" i="3"/>
  <c r="J5" i="3"/>
  <c r="I40" i="3"/>
  <c r="I21" i="3"/>
  <c r="I13" i="3"/>
  <c r="I5" i="3"/>
  <c r="V16" i="12"/>
  <c r="V21" i="12"/>
  <c r="V22" i="12"/>
  <c r="V24" i="12"/>
  <c r="V25" i="12"/>
  <c r="V26" i="12"/>
  <c r="V27" i="12"/>
  <c r="V28" i="12"/>
  <c r="V29" i="12"/>
  <c r="V30" i="12"/>
  <c r="V31" i="12"/>
  <c r="V32" i="12"/>
  <c r="V33" i="12"/>
  <c r="V34" i="12"/>
  <c r="V35" i="12"/>
  <c r="V36" i="12"/>
  <c r="V37" i="12"/>
  <c r="V40" i="12"/>
  <c r="V42" i="12"/>
  <c r="U22" i="12"/>
  <c r="U25" i="12"/>
  <c r="U26" i="12"/>
  <c r="U27" i="12"/>
  <c r="U28" i="12"/>
  <c r="U29" i="12"/>
  <c r="U30" i="12"/>
  <c r="U31" i="12"/>
  <c r="U32" i="12"/>
  <c r="U33" i="12"/>
  <c r="U34" i="12"/>
  <c r="U35" i="12"/>
  <c r="U36" i="12"/>
  <c r="U37" i="12"/>
  <c r="U40" i="12"/>
  <c r="S40" i="12"/>
  <c r="S35" i="12"/>
  <c r="S34" i="12"/>
  <c r="S33" i="12"/>
  <c r="I36" i="3" l="1"/>
  <c r="L62" i="14"/>
  <c r="H62" i="52"/>
  <c r="H62" i="54"/>
  <c r="H62" i="56"/>
  <c r="H62" i="44"/>
  <c r="G63" i="14"/>
  <c r="J36" i="3"/>
  <c r="I20" i="3" l="1"/>
  <c r="M43" i="15"/>
  <c r="Q36" i="3" s="1"/>
  <c r="I31" i="3" l="1"/>
  <c r="K33" i="52"/>
  <c r="L12" i="52" l="1"/>
  <c r="L10" i="52"/>
  <c r="P10" i="52"/>
  <c r="N10" i="52"/>
  <c r="O50" i="52"/>
  <c r="M50" i="52"/>
  <c r="K50" i="52"/>
  <c r="K9" i="52"/>
  <c r="J31" i="3" l="1"/>
  <c r="R20" i="12" l="1"/>
  <c r="S20" i="12"/>
  <c r="T20" i="12"/>
  <c r="W20" i="12"/>
  <c r="R21" i="12"/>
  <c r="S21" i="12"/>
  <c r="T21" i="12"/>
  <c r="R22" i="12"/>
  <c r="S22" i="12"/>
  <c r="T22" i="12"/>
  <c r="W22" i="12"/>
  <c r="X22" i="12"/>
  <c r="O41" i="55"/>
  <c r="N41" i="55"/>
  <c r="M41" i="55"/>
  <c r="AA30" i="55"/>
  <c r="Z30" i="55"/>
  <c r="C15" i="55"/>
  <c r="C16" i="55"/>
  <c r="C17" i="55" s="1"/>
  <c r="C19" i="55" s="1"/>
  <c r="C20" i="55" s="1"/>
  <c r="C21" i="55" s="1"/>
  <c r="C22" i="55" s="1"/>
  <c r="C23" i="55" s="1"/>
  <c r="C24" i="55" s="1"/>
  <c r="C25" i="55" s="1"/>
  <c r="C26" i="55" s="1"/>
  <c r="C27" i="55" s="1"/>
  <c r="C28" i="55" s="1"/>
  <c r="C29" i="55" s="1"/>
  <c r="C30" i="55" s="1"/>
  <c r="C31" i="55" s="1"/>
  <c r="C32" i="55" s="1"/>
  <c r="C33" i="55" s="1"/>
  <c r="C35" i="55" s="1"/>
  <c r="C36" i="55" s="1"/>
  <c r="C37" i="55" s="1"/>
  <c r="C38" i="55" s="1"/>
  <c r="C39" i="55" s="1"/>
  <c r="C40" i="55" s="1"/>
  <c r="C41" i="55" s="1"/>
  <c r="C42" i="55" s="1"/>
  <c r="C43" i="55" s="1"/>
  <c r="C45" i="55" s="1"/>
  <c r="C46" i="55" s="1"/>
  <c r="C47" i="55" s="1"/>
  <c r="C48" i="55" s="1"/>
  <c r="C49" i="55" s="1"/>
  <c r="C51" i="55" s="1"/>
  <c r="C52" i="55" s="1"/>
  <c r="C53" i="55" s="1"/>
  <c r="C54" i="55" s="1"/>
  <c r="C55" i="55" s="1"/>
  <c r="C56" i="55" s="1"/>
  <c r="C57" i="55" s="1"/>
  <c r="C58" i="55" s="1"/>
  <c r="C59" i="55" s="1"/>
  <c r="C60" i="55" s="1"/>
  <c r="C61" i="55" s="1"/>
  <c r="C62" i="55" s="1"/>
  <c r="C64" i="55" s="1"/>
  <c r="C65" i="55" s="1"/>
  <c r="C66" i="55" s="1"/>
  <c r="C67" i="55" s="1"/>
  <c r="O6" i="55"/>
  <c r="N6" i="55"/>
  <c r="M6" i="55"/>
  <c r="G3" i="55"/>
  <c r="F3" i="55"/>
  <c r="O2" i="55"/>
  <c r="D68" i="54"/>
  <c r="V63" i="54"/>
  <c r="P63" i="54"/>
  <c r="O26" i="55"/>
  <c r="N63" i="54"/>
  <c r="N26" i="55"/>
  <c r="L63" i="54"/>
  <c r="M26" i="55"/>
  <c r="O62" i="54"/>
  <c r="M62" i="54"/>
  <c r="K62" i="54"/>
  <c r="Y55" i="54"/>
  <c r="V55" i="54"/>
  <c r="S55" i="54"/>
  <c r="J55" i="54"/>
  <c r="I55" i="54"/>
  <c r="R55" i="54" s="1"/>
  <c r="H55" i="54"/>
  <c r="D55" i="54"/>
  <c r="Y54" i="54"/>
  <c r="V54" i="54"/>
  <c r="S54" i="54"/>
  <c r="J54" i="54"/>
  <c r="L54" i="54" s="1"/>
  <c r="I54" i="54"/>
  <c r="H54" i="54"/>
  <c r="D54" i="54"/>
  <c r="Y53" i="54"/>
  <c r="V53" i="54"/>
  <c r="S53" i="54"/>
  <c r="J53" i="54"/>
  <c r="I53" i="54"/>
  <c r="R53" i="54" s="1"/>
  <c r="H53" i="54"/>
  <c r="D53" i="54"/>
  <c r="Y52" i="54"/>
  <c r="V52" i="54"/>
  <c r="S52" i="54"/>
  <c r="J52" i="54"/>
  <c r="P52" i="54" s="1"/>
  <c r="I52" i="54"/>
  <c r="H52" i="54"/>
  <c r="Y51" i="54"/>
  <c r="V51" i="54"/>
  <c r="S51" i="54"/>
  <c r="Y50" i="54"/>
  <c r="V50" i="54"/>
  <c r="S50" i="54"/>
  <c r="Y49" i="54"/>
  <c r="V49" i="54"/>
  <c r="S49" i="54"/>
  <c r="Y48" i="54"/>
  <c r="V48" i="54"/>
  <c r="S48" i="54"/>
  <c r="Y47" i="54"/>
  <c r="V47" i="54"/>
  <c r="S47" i="54"/>
  <c r="Y46" i="54"/>
  <c r="V46" i="54"/>
  <c r="S46" i="54"/>
  <c r="Y45" i="54"/>
  <c r="V45" i="54"/>
  <c r="S45" i="54"/>
  <c r="P26" i="54"/>
  <c r="N26" i="54"/>
  <c r="L26" i="54"/>
  <c r="D26" i="54"/>
  <c r="D25" i="54"/>
  <c r="P23" i="54"/>
  <c r="N23" i="54"/>
  <c r="L23" i="54"/>
  <c r="H23" i="54"/>
  <c r="D23" i="54"/>
  <c r="P22" i="54"/>
  <c r="N22" i="54"/>
  <c r="L22" i="54"/>
  <c r="H22" i="54"/>
  <c r="D22" i="54"/>
  <c r="P21" i="54"/>
  <c r="N21" i="54"/>
  <c r="L21" i="54"/>
  <c r="H21" i="54"/>
  <c r="D21" i="54"/>
  <c r="P20" i="54"/>
  <c r="N20" i="54"/>
  <c r="L20" i="54"/>
  <c r="O17" i="54"/>
  <c r="M17" i="54"/>
  <c r="J17" i="54"/>
  <c r="O14" i="54"/>
  <c r="M14" i="54"/>
  <c r="K14" i="54"/>
  <c r="O9" i="54"/>
  <c r="M9" i="54"/>
  <c r="K9" i="54"/>
  <c r="J2" i="54"/>
  <c r="H2" i="54"/>
  <c r="C15" i="45"/>
  <c r="C16" i="45" s="1"/>
  <c r="C17" i="45" s="1"/>
  <c r="C19" i="45" s="1"/>
  <c r="C20" i="45" s="1"/>
  <c r="C21" i="45" s="1"/>
  <c r="C22" i="45" s="1"/>
  <c r="C23" i="45" s="1"/>
  <c r="C24" i="45" s="1"/>
  <c r="C25" i="45" s="1"/>
  <c r="C26" i="45" s="1"/>
  <c r="C27" i="45" s="1"/>
  <c r="C30" i="45" s="1"/>
  <c r="C31" i="45" s="1"/>
  <c r="C32" i="45" s="1"/>
  <c r="C33" i="45" s="1"/>
  <c r="C34" i="45" s="1"/>
  <c r="C36" i="45" s="1"/>
  <c r="C37" i="45" s="1"/>
  <c r="C38" i="45" s="1"/>
  <c r="C39" i="45" s="1"/>
  <c r="C40" i="45" s="1"/>
  <c r="C41" i="45" s="1"/>
  <c r="C42" i="45" s="1"/>
  <c r="C43" i="45" s="1"/>
  <c r="C44" i="45" s="1"/>
  <c r="C46" i="45" s="1"/>
  <c r="C47" i="45" s="1"/>
  <c r="C48" i="45" s="1"/>
  <c r="C49" i="45" s="1"/>
  <c r="C50" i="45" s="1"/>
  <c r="C52" i="45" s="1"/>
  <c r="C53" i="45" s="1"/>
  <c r="C54" i="45" s="1"/>
  <c r="C55" i="45" s="1"/>
  <c r="C56" i="45" s="1"/>
  <c r="C57" i="45" s="1"/>
  <c r="C58" i="45" s="1"/>
  <c r="C59" i="45" s="1"/>
  <c r="C60" i="45" s="1"/>
  <c r="C61" i="45" s="1"/>
  <c r="C62" i="45" s="1"/>
  <c r="C63" i="45" s="1"/>
  <c r="C65" i="45" s="1"/>
  <c r="C66" i="45" s="1"/>
  <c r="C67" i="45" s="1"/>
  <c r="C68" i="45" s="1"/>
  <c r="C15" i="53"/>
  <c r="C16" i="53" s="1"/>
  <c r="C17" i="53" s="1"/>
  <c r="C19" i="53" s="1"/>
  <c r="C20" i="53" s="1"/>
  <c r="C21" i="53" s="1"/>
  <c r="C22" i="53" s="1"/>
  <c r="C23" i="53" s="1"/>
  <c r="C24" i="53" s="1"/>
  <c r="C25" i="53" s="1"/>
  <c r="C26" i="53" s="1"/>
  <c r="C27" i="53" s="1"/>
  <c r="C28" i="53" s="1"/>
  <c r="C29" i="53" s="1"/>
  <c r="C30" i="53" s="1"/>
  <c r="C31" i="53" s="1"/>
  <c r="C32" i="53" s="1"/>
  <c r="C33" i="53" s="1"/>
  <c r="C35" i="53" s="1"/>
  <c r="C36" i="53" s="1"/>
  <c r="C37" i="53" s="1"/>
  <c r="C38" i="53" s="1"/>
  <c r="C39" i="53" s="1"/>
  <c r="C40" i="53" s="1"/>
  <c r="C41" i="53" s="1"/>
  <c r="C42" i="53" s="1"/>
  <c r="C43" i="53" s="1"/>
  <c r="C45" i="53" s="1"/>
  <c r="C46" i="53" s="1"/>
  <c r="C47" i="53" s="1"/>
  <c r="C48" i="53" s="1"/>
  <c r="C49" i="53" s="1"/>
  <c r="C15" i="57"/>
  <c r="C16" i="57" s="1"/>
  <c r="C17" i="57" s="1"/>
  <c r="C19" i="57" s="1"/>
  <c r="C20" i="57" s="1"/>
  <c r="C21" i="57" s="1"/>
  <c r="C22" i="57" s="1"/>
  <c r="C23" i="57" s="1"/>
  <c r="C24" i="57" s="1"/>
  <c r="C25" i="57" s="1"/>
  <c r="C26" i="57" s="1"/>
  <c r="C27" i="57" s="1"/>
  <c r="C28" i="57" s="1"/>
  <c r="C29" i="57" s="1"/>
  <c r="C30" i="57" s="1"/>
  <c r="C31" i="57" s="1"/>
  <c r="C32" i="57" s="1"/>
  <c r="C33" i="57" s="1"/>
  <c r="C35" i="57" s="1"/>
  <c r="C36" i="57" s="1"/>
  <c r="C37" i="57" s="1"/>
  <c r="C38" i="57" s="1"/>
  <c r="C39" i="57" s="1"/>
  <c r="C40" i="57" s="1"/>
  <c r="C41" i="57" s="1"/>
  <c r="C42" i="57" s="1"/>
  <c r="C43" i="57" s="1"/>
  <c r="C45" i="57" s="1"/>
  <c r="C46" i="57" s="1"/>
  <c r="C47" i="57" s="1"/>
  <c r="C48" i="57" s="1"/>
  <c r="C49" i="57" s="1"/>
  <c r="C51" i="57" s="1"/>
  <c r="C52" i="57" s="1"/>
  <c r="C53" i="57" s="1"/>
  <c r="C54" i="57" s="1"/>
  <c r="C55" i="57" s="1"/>
  <c r="C56" i="57" s="1"/>
  <c r="C57" i="57" s="1"/>
  <c r="C58" i="57" s="1"/>
  <c r="C59" i="57" s="1"/>
  <c r="C60" i="57" s="1"/>
  <c r="C61" i="57" s="1"/>
  <c r="C62" i="57" s="1"/>
  <c r="C64" i="57" s="1"/>
  <c r="C65" i="57" s="1"/>
  <c r="C66" i="57" s="1"/>
  <c r="C67" i="57" s="1"/>
  <c r="O42" i="45"/>
  <c r="O41" i="53"/>
  <c r="M42" i="45"/>
  <c r="M41" i="53"/>
  <c r="O41" i="57"/>
  <c r="M41" i="57"/>
  <c r="C16" i="15"/>
  <c r="C17" i="15"/>
  <c r="C19" i="15" s="1"/>
  <c r="C20" i="15" s="1"/>
  <c r="C21" i="15" s="1"/>
  <c r="C22" i="15" s="1"/>
  <c r="C23" i="15" s="1"/>
  <c r="C24" i="15" s="1"/>
  <c r="C25" i="15" s="1"/>
  <c r="C26" i="15" s="1"/>
  <c r="C27" i="15" s="1"/>
  <c r="C28" i="15" s="1"/>
  <c r="C29" i="15" s="1"/>
  <c r="C30" i="15" s="1"/>
  <c r="C31" i="15" s="1"/>
  <c r="C32" i="15" s="1"/>
  <c r="C33" i="15" s="1"/>
  <c r="C34" i="15" s="1"/>
  <c r="C36" i="15" s="1"/>
  <c r="C37" i="15" s="1"/>
  <c r="C38" i="15" s="1"/>
  <c r="C39" i="15" s="1"/>
  <c r="C40" i="15" s="1"/>
  <c r="C41" i="15" s="1"/>
  <c r="C42" i="15" s="1"/>
  <c r="C43" i="15" s="1"/>
  <c r="C44" i="15" s="1"/>
  <c r="C45" i="15" s="1"/>
  <c r="C47" i="15" s="1"/>
  <c r="C48" i="15" s="1"/>
  <c r="C49" i="15" s="1"/>
  <c r="C50" i="15" s="1"/>
  <c r="C51" i="15" s="1"/>
  <c r="C52" i="15" s="1"/>
  <c r="C53" i="15" s="1"/>
  <c r="C55" i="15" s="1"/>
  <c r="C56" i="15" s="1"/>
  <c r="C57" i="15" s="1"/>
  <c r="C58" i="15" s="1"/>
  <c r="C59" i="15" s="1"/>
  <c r="C60" i="15" s="1"/>
  <c r="C62" i="15" s="1"/>
  <c r="C63" i="15" s="1"/>
  <c r="C64" i="15" s="1"/>
  <c r="C65" i="15" s="1"/>
  <c r="C66" i="15" s="1"/>
  <c r="C68" i="15" s="1"/>
  <c r="C69" i="15" s="1"/>
  <c r="C70" i="15" s="1"/>
  <c r="C71" i="15" s="1"/>
  <c r="A66" i="7"/>
  <c r="A65" i="7"/>
  <c r="L77" i="14"/>
  <c r="A59" i="7"/>
  <c r="A60" i="7"/>
  <c r="A61" i="7"/>
  <c r="A62" i="7"/>
  <c r="A63" i="7"/>
  <c r="A64" i="7"/>
  <c r="A58" i="7"/>
  <c r="Z30" i="53"/>
  <c r="AA30" i="53"/>
  <c r="Z31" i="45"/>
  <c r="AA30" i="15"/>
  <c r="Y5" i="10"/>
  <c r="M7" i="8"/>
  <c r="Y7" i="8"/>
  <c r="Y9" i="8" s="1"/>
  <c r="C9" i="8"/>
  <c r="X3" i="12"/>
  <c r="R13" i="12"/>
  <c r="T13" i="12"/>
  <c r="R14" i="12"/>
  <c r="R15" i="12"/>
  <c r="J16" i="12"/>
  <c r="R16" i="12"/>
  <c r="S16" i="12"/>
  <c r="T16" i="12"/>
  <c r="U16" i="12"/>
  <c r="W16" i="12"/>
  <c r="X16" i="12"/>
  <c r="R17" i="12"/>
  <c r="S17" i="12"/>
  <c r="T17" i="12"/>
  <c r="R18" i="12"/>
  <c r="S18" i="12"/>
  <c r="T18" i="12"/>
  <c r="R19" i="12"/>
  <c r="S19" i="12"/>
  <c r="T19" i="12"/>
  <c r="R23" i="12"/>
  <c r="S23" i="12"/>
  <c r="T23" i="12"/>
  <c r="X23" i="12"/>
  <c r="R24" i="12"/>
  <c r="S24" i="12"/>
  <c r="W24" i="12"/>
  <c r="X24" i="12"/>
  <c r="J26" i="12"/>
  <c r="R26" i="12"/>
  <c r="S26" i="12"/>
  <c r="T26" i="12"/>
  <c r="W26" i="12"/>
  <c r="X26" i="12"/>
  <c r="R27" i="12"/>
  <c r="W27" i="12"/>
  <c r="X27" i="12"/>
  <c r="R28" i="12"/>
  <c r="W28" i="12"/>
  <c r="X28" i="12"/>
  <c r="R29" i="12"/>
  <c r="T29" i="12"/>
  <c r="W29" i="12"/>
  <c r="R30" i="12"/>
  <c r="T30" i="12"/>
  <c r="W30" i="12"/>
  <c r="R31" i="12"/>
  <c r="T31" i="12"/>
  <c r="W31" i="12"/>
  <c r="R32" i="12"/>
  <c r="T32" i="12"/>
  <c r="W32" i="12"/>
  <c r="R33" i="12"/>
  <c r="W33" i="12"/>
  <c r="X33" i="12"/>
  <c r="J34" i="12"/>
  <c r="R34" i="12"/>
  <c r="T34" i="12"/>
  <c r="W34" i="12"/>
  <c r="X34" i="12"/>
  <c r="J35" i="12"/>
  <c r="R35" i="12"/>
  <c r="T35" i="12"/>
  <c r="W35" i="12"/>
  <c r="X35" i="12"/>
  <c r="R36" i="12"/>
  <c r="T36" i="12"/>
  <c r="W36" i="12"/>
  <c r="R37" i="12"/>
  <c r="T37" i="12"/>
  <c r="W37" i="12"/>
  <c r="X37" i="12"/>
  <c r="R38" i="12"/>
  <c r="T38" i="12"/>
  <c r="R39" i="12"/>
  <c r="T39" i="12"/>
  <c r="J40" i="12"/>
  <c r="R40" i="12"/>
  <c r="T40" i="12"/>
  <c r="W40" i="12"/>
  <c r="X40" i="12"/>
  <c r="R41" i="12"/>
  <c r="J42" i="12"/>
  <c r="R42" i="12"/>
  <c r="S42" i="12"/>
  <c r="T42" i="12"/>
  <c r="U42" i="12"/>
  <c r="W42" i="12"/>
  <c r="X42" i="12"/>
  <c r="F51" i="12"/>
  <c r="R51" i="12"/>
  <c r="F52" i="12"/>
  <c r="J52" i="12"/>
  <c r="R52" i="12"/>
  <c r="S52" i="12"/>
  <c r="T52" i="12"/>
  <c r="U52" i="12"/>
  <c r="V52" i="12"/>
  <c r="W52" i="12"/>
  <c r="X52" i="12"/>
  <c r="F53" i="12"/>
  <c r="J53" i="12"/>
  <c r="R53" i="12"/>
  <c r="S53" i="12"/>
  <c r="T53" i="12"/>
  <c r="U53" i="12"/>
  <c r="V53" i="12"/>
  <c r="W53" i="12"/>
  <c r="X53" i="12"/>
  <c r="H2" i="52"/>
  <c r="J2" i="52"/>
  <c r="L9" i="52"/>
  <c r="M9" i="52"/>
  <c r="O9" i="52"/>
  <c r="P9" i="52" s="1"/>
  <c r="O8" i="53" s="1"/>
  <c r="K14" i="52"/>
  <c r="M14" i="52"/>
  <c r="O14" i="52"/>
  <c r="J17" i="52"/>
  <c r="M17" i="52"/>
  <c r="O17" i="52"/>
  <c r="L20" i="52"/>
  <c r="N20" i="52"/>
  <c r="P20" i="52"/>
  <c r="D21" i="52"/>
  <c r="H21" i="52"/>
  <c r="L21" i="52"/>
  <c r="N21" i="52"/>
  <c r="P21" i="52"/>
  <c r="D22" i="52"/>
  <c r="H22" i="52"/>
  <c r="L22" i="52"/>
  <c r="N22" i="52"/>
  <c r="P22" i="52"/>
  <c r="D23" i="52"/>
  <c r="H23" i="52"/>
  <c r="L23" i="52"/>
  <c r="N23" i="52"/>
  <c r="P23" i="52"/>
  <c r="D25" i="52"/>
  <c r="D26" i="52"/>
  <c r="L26" i="52"/>
  <c r="N26" i="52"/>
  <c r="P26" i="52"/>
  <c r="S45" i="52"/>
  <c r="V45" i="52"/>
  <c r="Y45" i="52"/>
  <c r="S46" i="52"/>
  <c r="V46" i="52"/>
  <c r="Y46" i="52"/>
  <c r="S47" i="52"/>
  <c r="V47" i="52"/>
  <c r="Y47" i="52"/>
  <c r="S48" i="52"/>
  <c r="V48" i="52"/>
  <c r="Y48" i="52"/>
  <c r="S49" i="52"/>
  <c r="V49" i="52"/>
  <c r="Y49" i="52"/>
  <c r="S50" i="52"/>
  <c r="V50" i="52"/>
  <c r="Y50" i="52"/>
  <c r="S51" i="52"/>
  <c r="V51" i="52"/>
  <c r="Y51" i="52"/>
  <c r="H52" i="52"/>
  <c r="I52" i="52"/>
  <c r="J52" i="52"/>
  <c r="Z52" i="52" s="1"/>
  <c r="S52" i="52"/>
  <c r="V52" i="52"/>
  <c r="Y52" i="52"/>
  <c r="D53" i="52"/>
  <c r="H53" i="52"/>
  <c r="I53" i="52"/>
  <c r="J53" i="52"/>
  <c r="S53" i="52"/>
  <c r="V53" i="52"/>
  <c r="Y53" i="52"/>
  <c r="D54" i="52"/>
  <c r="H54" i="52"/>
  <c r="I54" i="52"/>
  <c r="J54" i="52"/>
  <c r="W54" i="52" s="1"/>
  <c r="S54" i="52"/>
  <c r="V54" i="52"/>
  <c r="X54" i="52"/>
  <c r="Y54" i="52"/>
  <c r="D55" i="52"/>
  <c r="H55" i="52"/>
  <c r="I55" i="52"/>
  <c r="X55" i="52" s="1"/>
  <c r="J55" i="52"/>
  <c r="Z55" i="52" s="1"/>
  <c r="R55" i="52"/>
  <c r="S55" i="52"/>
  <c r="U55" i="52"/>
  <c r="V55" i="52"/>
  <c r="Y55" i="52"/>
  <c r="K62" i="52"/>
  <c r="M62" i="52"/>
  <c r="O62" i="52"/>
  <c r="L63" i="52"/>
  <c r="M26" i="53" s="1"/>
  <c r="N63" i="52"/>
  <c r="N26" i="53"/>
  <c r="P63" i="52"/>
  <c r="O26" i="53" s="1"/>
  <c r="V63" i="52"/>
  <c r="O2" i="53"/>
  <c r="F3" i="53"/>
  <c r="G3" i="53"/>
  <c r="M6" i="53"/>
  <c r="N6" i="53"/>
  <c r="O6" i="53"/>
  <c r="N41" i="53"/>
  <c r="T116" i="4"/>
  <c r="T12" i="4" s="1"/>
  <c r="U116" i="4"/>
  <c r="U12" i="4" s="1"/>
  <c r="O5" i="15"/>
  <c r="P5" i="15"/>
  <c r="Q5" i="15"/>
  <c r="R5" i="15"/>
  <c r="M6" i="14"/>
  <c r="N6" i="14"/>
  <c r="O6" i="14"/>
  <c r="P6" i="15" s="1"/>
  <c r="R7" i="14"/>
  <c r="I7" i="14" s="1"/>
  <c r="M21" i="14"/>
  <c r="N21" i="14"/>
  <c r="O21" i="14"/>
  <c r="P21" i="14"/>
  <c r="Q21" i="14"/>
  <c r="J24" i="14"/>
  <c r="W46" i="14"/>
  <c r="X46" i="14"/>
  <c r="AC46" i="14"/>
  <c r="AD46" i="14"/>
  <c r="J47" i="14"/>
  <c r="W47" i="14"/>
  <c r="X47" i="14"/>
  <c r="AC47" i="14"/>
  <c r="AD47" i="14"/>
  <c r="J48" i="14"/>
  <c r="W48" i="14"/>
  <c r="X48" i="14"/>
  <c r="AC48" i="14"/>
  <c r="AD48" i="14"/>
  <c r="T49" i="14"/>
  <c r="U49" i="14"/>
  <c r="V49" i="14"/>
  <c r="Z49" i="14"/>
  <c r="AA49" i="14"/>
  <c r="AB49" i="14"/>
  <c r="J51" i="14"/>
  <c r="T51" i="14"/>
  <c r="U51" i="14"/>
  <c r="V51" i="14"/>
  <c r="W51" i="14"/>
  <c r="X51" i="14"/>
  <c r="Z51" i="14"/>
  <c r="AA51" i="14"/>
  <c r="AB51" i="14"/>
  <c r="AC51" i="14"/>
  <c r="AD51" i="14"/>
  <c r="W52" i="14"/>
  <c r="X52" i="14"/>
  <c r="AC52" i="14"/>
  <c r="AD52" i="14"/>
  <c r="T53" i="14"/>
  <c r="U53" i="14"/>
  <c r="V53" i="14"/>
  <c r="W53" i="14"/>
  <c r="X53" i="14"/>
  <c r="Z53" i="14"/>
  <c r="AA53" i="14"/>
  <c r="AB53" i="14"/>
  <c r="AC53" i="14"/>
  <c r="AD53" i="14"/>
  <c r="T54" i="14"/>
  <c r="U54" i="14"/>
  <c r="V54" i="14"/>
  <c r="W54" i="14"/>
  <c r="X54" i="14"/>
  <c r="Z54" i="14"/>
  <c r="AA54" i="14"/>
  <c r="AB54" i="14"/>
  <c r="AC54" i="14"/>
  <c r="AD54" i="14"/>
  <c r="T55" i="14"/>
  <c r="U55" i="14"/>
  <c r="V55" i="14"/>
  <c r="W55" i="14"/>
  <c r="X55" i="14"/>
  <c r="Z55" i="14"/>
  <c r="AA55" i="14"/>
  <c r="AB55" i="14"/>
  <c r="AC55" i="14"/>
  <c r="AD55" i="14"/>
  <c r="J56" i="14"/>
  <c r="T56" i="14"/>
  <c r="U56" i="14"/>
  <c r="V56" i="14"/>
  <c r="W56" i="14"/>
  <c r="X56" i="14"/>
  <c r="Z56" i="14"/>
  <c r="AA56" i="14"/>
  <c r="AB56" i="14"/>
  <c r="AC56" i="14"/>
  <c r="AD56" i="14"/>
  <c r="J61" i="14"/>
  <c r="T61" i="14"/>
  <c r="U61" i="14"/>
  <c r="V61" i="14"/>
  <c r="W61" i="14"/>
  <c r="X61" i="14"/>
  <c r="W62" i="14"/>
  <c r="X62" i="14"/>
  <c r="J63" i="14"/>
  <c r="K63" i="14"/>
  <c r="T63" i="14"/>
  <c r="U63" i="14"/>
  <c r="V63" i="14"/>
  <c r="W63" i="14"/>
  <c r="X63" i="14"/>
  <c r="M64" i="14"/>
  <c r="N26" i="15"/>
  <c r="N64" i="14"/>
  <c r="O26" i="15"/>
  <c r="O64" i="14"/>
  <c r="P26" i="15"/>
  <c r="P64" i="14"/>
  <c r="Q26" i="15"/>
  <c r="Q64" i="14"/>
  <c r="R26" i="15"/>
  <c r="K66" i="14"/>
  <c r="L64" i="14"/>
  <c r="M26" i="15" s="1"/>
  <c r="E21" i="3" s="1"/>
  <c r="P70" i="14"/>
  <c r="R2" i="15"/>
  <c r="M6" i="15"/>
  <c r="M11" i="15"/>
  <c r="M58" i="15" s="1"/>
  <c r="N11" i="15"/>
  <c r="O11" i="15"/>
  <c r="O58" i="15" s="1"/>
  <c r="P11" i="15"/>
  <c r="P58" i="15" s="1"/>
  <c r="Q11" i="15"/>
  <c r="Q58" i="15" s="1"/>
  <c r="R11" i="15"/>
  <c r="R58" i="15" s="1"/>
  <c r="H2" i="56"/>
  <c r="J2" i="56"/>
  <c r="K9" i="56"/>
  <c r="L9" i="56"/>
  <c r="M8" i="57" s="1"/>
  <c r="M9" i="56"/>
  <c r="M11" i="56"/>
  <c r="O9" i="56"/>
  <c r="P9" i="56"/>
  <c r="O8" i="57" s="1"/>
  <c r="L12" i="56"/>
  <c r="M11" i="57"/>
  <c r="M54" i="57" s="1"/>
  <c r="N12" i="56"/>
  <c r="N11" i="57" s="1"/>
  <c r="N54" i="57" s="1"/>
  <c r="P12" i="56"/>
  <c r="O11" i="57"/>
  <c r="O54" i="57" s="1"/>
  <c r="K14" i="56"/>
  <c r="M14" i="56"/>
  <c r="O14" i="56"/>
  <c r="J17" i="56"/>
  <c r="M17" i="56"/>
  <c r="O17" i="56"/>
  <c r="L21" i="56"/>
  <c r="N21" i="56"/>
  <c r="D22" i="56"/>
  <c r="H22" i="56"/>
  <c r="L22" i="56"/>
  <c r="N22" i="56"/>
  <c r="P22" i="56"/>
  <c r="D23" i="56"/>
  <c r="H23" i="56"/>
  <c r="L23" i="56"/>
  <c r="N23" i="56"/>
  <c r="P23" i="56"/>
  <c r="D25" i="56"/>
  <c r="D26" i="56"/>
  <c r="L26" i="56"/>
  <c r="N26" i="56"/>
  <c r="P26" i="56"/>
  <c r="K33" i="56"/>
  <c r="M33" i="56"/>
  <c r="O33" i="56"/>
  <c r="S45" i="56"/>
  <c r="V45" i="56"/>
  <c r="Y45" i="56"/>
  <c r="S46" i="56"/>
  <c r="V46" i="56"/>
  <c r="Y46" i="56"/>
  <c r="S47" i="56"/>
  <c r="V47" i="56"/>
  <c r="Y47" i="56"/>
  <c r="S48" i="56"/>
  <c r="V48" i="56"/>
  <c r="Y48" i="56"/>
  <c r="S49" i="56"/>
  <c r="V49" i="56"/>
  <c r="Y49" i="56"/>
  <c r="S50" i="56"/>
  <c r="V50" i="56"/>
  <c r="Y50" i="56"/>
  <c r="S51" i="56"/>
  <c r="V51" i="56"/>
  <c r="Y51" i="56"/>
  <c r="S52" i="56"/>
  <c r="V52" i="56"/>
  <c r="Y52" i="56"/>
  <c r="S53" i="56"/>
  <c r="V53" i="56"/>
  <c r="Y53" i="56"/>
  <c r="S54" i="56"/>
  <c r="V54" i="56"/>
  <c r="Y54" i="56"/>
  <c r="S55" i="56"/>
  <c r="V55" i="56"/>
  <c r="Y55" i="56"/>
  <c r="K62" i="56"/>
  <c r="M62" i="56"/>
  <c r="O62" i="56"/>
  <c r="L63" i="56"/>
  <c r="M26" i="57"/>
  <c r="N63" i="56"/>
  <c r="N26" i="57" s="1"/>
  <c r="P63" i="56"/>
  <c r="O26" i="57"/>
  <c r="V63" i="56"/>
  <c r="L65" i="56"/>
  <c r="M22" i="57" s="1"/>
  <c r="N65" i="56"/>
  <c r="N22" i="57" s="1"/>
  <c r="P65" i="56"/>
  <c r="O22" i="57" s="1"/>
  <c r="D68" i="56"/>
  <c r="I68" i="56"/>
  <c r="P68" i="56" s="1"/>
  <c r="P67" i="56" s="1"/>
  <c r="O23" i="57" s="1"/>
  <c r="O2" i="57"/>
  <c r="F3" i="57"/>
  <c r="G3" i="57"/>
  <c r="M6" i="57"/>
  <c r="N6" i="57"/>
  <c r="O6" i="57"/>
  <c r="M36" i="57"/>
  <c r="N36" i="57"/>
  <c r="O36" i="57"/>
  <c r="N41" i="57"/>
  <c r="K9" i="44"/>
  <c r="L9" i="44" s="1"/>
  <c r="M9" i="44"/>
  <c r="O9" i="44"/>
  <c r="P9" i="44" s="1"/>
  <c r="K14" i="44"/>
  <c r="M14" i="44"/>
  <c r="O14" i="44"/>
  <c r="J17" i="44"/>
  <c r="M17" i="44"/>
  <c r="O17" i="44"/>
  <c r="D21" i="44"/>
  <c r="L21" i="44"/>
  <c r="N21" i="44"/>
  <c r="P21" i="44"/>
  <c r="D22" i="44"/>
  <c r="N22" i="44"/>
  <c r="P22" i="44"/>
  <c r="D23" i="44"/>
  <c r="N23" i="44"/>
  <c r="P23" i="44"/>
  <c r="D25" i="44"/>
  <c r="L26" i="44"/>
  <c r="N26" i="44"/>
  <c r="P26" i="44"/>
  <c r="K62" i="44"/>
  <c r="M62" i="44"/>
  <c r="O62" i="44"/>
  <c r="L63" i="44"/>
  <c r="M26" i="45"/>
  <c r="AH21" i="3" s="1"/>
  <c r="N63" i="44"/>
  <c r="N26" i="45" s="1"/>
  <c r="AI21" i="3" s="1"/>
  <c r="P63" i="44"/>
  <c r="O26" i="45"/>
  <c r="AJ21" i="3" s="1"/>
  <c r="V63" i="44"/>
  <c r="O2" i="45"/>
  <c r="G3" i="45"/>
  <c r="M6" i="45"/>
  <c r="AH5" i="3" s="1"/>
  <c r="N6" i="45"/>
  <c r="AI5" i="3" s="1"/>
  <c r="O6" i="45"/>
  <c r="AJ5" i="3" s="1"/>
  <c r="AH36" i="3"/>
  <c r="N42" i="45"/>
  <c r="AJ36" i="3"/>
  <c r="K12" i="13"/>
  <c r="K40" i="13"/>
  <c r="D2" i="3"/>
  <c r="E13" i="3"/>
  <c r="E36" i="3"/>
  <c r="AI36" i="3"/>
  <c r="AB5" i="10"/>
  <c r="AA27" i="10"/>
  <c r="AB27" i="10"/>
  <c r="AC27" i="10"/>
  <c r="AA28" i="10"/>
  <c r="AB28" i="10"/>
  <c r="AC28" i="10"/>
  <c r="AA29" i="10"/>
  <c r="AB29" i="10"/>
  <c r="AC29" i="10"/>
  <c r="AA30" i="10"/>
  <c r="AB30" i="10"/>
  <c r="AC30" i="10"/>
  <c r="AA31" i="10"/>
  <c r="AB31" i="10"/>
  <c r="AC31" i="10"/>
  <c r="AA32" i="10"/>
  <c r="AB32" i="10"/>
  <c r="AC32" i="10"/>
  <c r="AA33" i="10"/>
  <c r="AB33" i="10"/>
  <c r="AC33" i="10"/>
  <c r="AA34" i="10"/>
  <c r="AB34" i="10"/>
  <c r="AC34" i="10"/>
  <c r="AA35" i="10"/>
  <c r="AB35" i="10"/>
  <c r="AC35" i="10"/>
  <c r="AA36" i="10"/>
  <c r="AB36" i="10"/>
  <c r="AC36" i="10"/>
  <c r="AA37" i="10"/>
  <c r="AB37" i="10"/>
  <c r="AC37" i="10"/>
  <c r="AA38" i="10"/>
  <c r="AB38" i="10"/>
  <c r="AC38" i="10"/>
  <c r="AA39" i="10"/>
  <c r="AB39" i="10"/>
  <c r="AC39" i="10"/>
  <c r="AD39" i="10" s="1"/>
  <c r="AA40" i="10"/>
  <c r="AB40" i="10"/>
  <c r="AC40" i="10"/>
  <c r="AA41" i="10"/>
  <c r="AB41" i="10"/>
  <c r="AC41" i="10"/>
  <c r="AA42" i="10"/>
  <c r="AB42" i="10"/>
  <c r="AC42" i="10"/>
  <c r="AA43" i="10"/>
  <c r="AB43" i="10"/>
  <c r="AC43" i="10"/>
  <c r="AD43" i="10" s="1"/>
  <c r="AA44" i="10"/>
  <c r="AB44" i="10"/>
  <c r="AC44" i="10"/>
  <c r="AA45" i="10"/>
  <c r="AB45" i="10"/>
  <c r="AC45" i="10"/>
  <c r="AD45" i="10" s="1"/>
  <c r="AA46" i="10"/>
  <c r="AB46" i="10"/>
  <c r="AC46" i="10"/>
  <c r="AA47" i="10"/>
  <c r="AB47" i="10"/>
  <c r="AC47" i="10"/>
  <c r="AA48" i="10"/>
  <c r="AB48" i="10"/>
  <c r="AC48" i="10"/>
  <c r="AA49" i="10"/>
  <c r="AB49" i="10"/>
  <c r="AC49" i="10"/>
  <c r="AA50" i="10"/>
  <c r="AB50" i="10"/>
  <c r="AC50" i="10"/>
  <c r="AD50" i="10" s="1"/>
  <c r="AA51" i="10"/>
  <c r="AB51" i="10"/>
  <c r="AC51" i="10"/>
  <c r="AA52" i="10"/>
  <c r="AB52" i="10"/>
  <c r="AC52" i="10"/>
  <c r="AD52" i="10" s="1"/>
  <c r="AA53" i="10"/>
  <c r="AB53" i="10"/>
  <c r="AC53" i="10"/>
  <c r="AA54" i="10"/>
  <c r="AB54" i="10"/>
  <c r="AC54" i="10"/>
  <c r="AD54" i="10" s="1"/>
  <c r="AA55" i="10"/>
  <c r="AB55" i="10"/>
  <c r="AC55" i="10"/>
  <c r="AA56" i="10"/>
  <c r="AB56" i="10"/>
  <c r="AC56" i="10"/>
  <c r="AD56" i="10" s="1"/>
  <c r="AA57" i="10"/>
  <c r="AB57" i="10"/>
  <c r="AC57" i="10"/>
  <c r="AB58" i="10"/>
  <c r="AA59" i="10"/>
  <c r="AB59" i="10"/>
  <c r="AC59" i="10"/>
  <c r="AB60" i="10"/>
  <c r="AC60" i="10"/>
  <c r="AA62" i="10"/>
  <c r="AB62" i="10"/>
  <c r="AC62" i="10"/>
  <c r="AA63" i="10"/>
  <c r="AB63" i="10"/>
  <c r="AC63" i="10"/>
  <c r="AA64" i="10"/>
  <c r="AB64" i="10"/>
  <c r="AC64" i="10"/>
  <c r="AD64" i="10" s="1"/>
  <c r="AA65" i="10"/>
  <c r="AB65" i="10"/>
  <c r="AC65" i="10"/>
  <c r="AA66" i="10"/>
  <c r="AB66" i="10"/>
  <c r="AC66" i="10"/>
  <c r="AA67" i="10"/>
  <c r="AB67" i="10"/>
  <c r="AC67" i="10"/>
  <c r="AA68" i="10"/>
  <c r="AB68" i="10"/>
  <c r="AC68" i="10"/>
  <c r="AD68" i="10" s="1"/>
  <c r="AA69" i="10"/>
  <c r="AB69" i="10"/>
  <c r="AC69" i="10"/>
  <c r="AA70" i="10"/>
  <c r="AB70" i="10"/>
  <c r="AC70" i="10"/>
  <c r="AA71" i="10"/>
  <c r="AB71" i="10"/>
  <c r="AC71" i="10"/>
  <c r="AA72" i="10"/>
  <c r="AB72" i="10"/>
  <c r="AC72" i="10"/>
  <c r="AD72" i="10" s="1"/>
  <c r="AA73" i="10"/>
  <c r="AB73" i="10"/>
  <c r="AC73" i="10"/>
  <c r="AA74" i="10"/>
  <c r="AB74" i="10"/>
  <c r="AC74" i="10"/>
  <c r="AD74" i="10" s="1"/>
  <c r="AA75" i="10"/>
  <c r="AB75" i="10"/>
  <c r="AC75" i="10"/>
  <c r="AA76" i="10"/>
  <c r="AB76" i="10"/>
  <c r="AC76" i="10"/>
  <c r="AA77" i="10"/>
  <c r="AB77" i="10"/>
  <c r="AC77" i="10"/>
  <c r="AA78" i="10"/>
  <c r="AB78" i="10"/>
  <c r="AC78" i="10"/>
  <c r="AD78" i="10" s="1"/>
  <c r="O7" i="57"/>
  <c r="M7" i="57"/>
  <c r="O35" i="56"/>
  <c r="M35" i="56"/>
  <c r="K35" i="56"/>
  <c r="O36" i="53"/>
  <c r="O11" i="52"/>
  <c r="M11" i="52"/>
  <c r="K11" i="52"/>
  <c r="F43" i="12"/>
  <c r="E40" i="3"/>
  <c r="AJ40" i="3"/>
  <c r="AH40" i="3"/>
  <c r="AI40" i="3"/>
  <c r="O36" i="56"/>
  <c r="K36" i="56"/>
  <c r="O11" i="56"/>
  <c r="O15" i="56"/>
  <c r="O12" i="57" s="1"/>
  <c r="K11" i="56"/>
  <c r="L11" i="56"/>
  <c r="M10" i="57" s="1"/>
  <c r="AC49" i="14"/>
  <c r="C51" i="53"/>
  <c r="C52" i="53"/>
  <c r="C53" i="53" s="1"/>
  <c r="C54" i="53" s="1"/>
  <c r="C55" i="53" s="1"/>
  <c r="C56" i="53" s="1"/>
  <c r="C57" i="53" s="1"/>
  <c r="C58" i="53" s="1"/>
  <c r="C59" i="53" s="1"/>
  <c r="C60" i="53" s="1"/>
  <c r="C61" i="53" s="1"/>
  <c r="C62" i="53" s="1"/>
  <c r="C64" i="53" s="1"/>
  <c r="C65" i="53" s="1"/>
  <c r="C66" i="53" s="1"/>
  <c r="C67" i="53" s="1"/>
  <c r="I36" i="57"/>
  <c r="O38" i="57" s="1"/>
  <c r="L11" i="52"/>
  <c r="M11" i="53" s="1"/>
  <c r="M9" i="53"/>
  <c r="M36" i="52"/>
  <c r="M34" i="52"/>
  <c r="O36" i="44"/>
  <c r="K34" i="44"/>
  <c r="O11" i="44"/>
  <c r="O15" i="44" s="1"/>
  <c r="K11" i="44"/>
  <c r="N7" i="57"/>
  <c r="M35" i="52"/>
  <c r="M33" i="52"/>
  <c r="P11" i="56"/>
  <c r="O10" i="57"/>
  <c r="O16" i="56"/>
  <c r="O13" i="57" s="1"/>
  <c r="M7" i="45"/>
  <c r="AH6" i="3" s="1"/>
  <c r="M36" i="44"/>
  <c r="K35" i="44"/>
  <c r="M34" i="44"/>
  <c r="K33" i="44"/>
  <c r="O34" i="56"/>
  <c r="O36" i="52"/>
  <c r="K36" i="52"/>
  <c r="O34" i="52"/>
  <c r="K34" i="52"/>
  <c r="K15" i="56"/>
  <c r="M12" i="57"/>
  <c r="Y8" i="8"/>
  <c r="N25" i="52" s="1"/>
  <c r="O9" i="57"/>
  <c r="P11" i="52"/>
  <c r="P12" i="52" s="1"/>
  <c r="O11" i="53" s="1"/>
  <c r="AD41" i="10"/>
  <c r="AD37" i="10"/>
  <c r="AD33" i="10"/>
  <c r="AD29" i="10"/>
  <c r="K34" i="56"/>
  <c r="O7" i="53"/>
  <c r="M7" i="53"/>
  <c r="O35" i="52"/>
  <c r="K35" i="52"/>
  <c r="O33" i="52"/>
  <c r="K16" i="56"/>
  <c r="M13" i="57" s="1"/>
  <c r="M9" i="57"/>
  <c r="N9" i="56"/>
  <c r="N8" i="57" s="1"/>
  <c r="M34" i="56"/>
  <c r="M36" i="56"/>
  <c r="R6" i="15"/>
  <c r="R43" i="15" s="1"/>
  <c r="U62" i="14"/>
  <c r="T62" i="14"/>
  <c r="V62" i="14"/>
  <c r="X49" i="14"/>
  <c r="AD49" i="14"/>
  <c r="J49" i="14"/>
  <c r="W49" i="14"/>
  <c r="Q6" i="15"/>
  <c r="O6" i="15"/>
  <c r="O43" i="15" s="1"/>
  <c r="P11" i="44"/>
  <c r="O10" i="45" s="1"/>
  <c r="AJ9" i="3" s="1"/>
  <c r="M10" i="53"/>
  <c r="M35" i="44"/>
  <c r="K36" i="44"/>
  <c r="N7" i="45"/>
  <c r="AI6" i="3" s="1"/>
  <c r="O34" i="44"/>
  <c r="M7" i="55"/>
  <c r="K36" i="54"/>
  <c r="K34" i="54"/>
  <c r="N7" i="55"/>
  <c r="M36" i="54"/>
  <c r="M34" i="54"/>
  <c r="O7" i="55"/>
  <c r="O36" i="54"/>
  <c r="O34" i="54"/>
  <c r="K33" i="54"/>
  <c r="O33" i="54"/>
  <c r="M35" i="54"/>
  <c r="L9" i="54"/>
  <c r="M8" i="55" s="1"/>
  <c r="N9" i="54"/>
  <c r="N10" i="54"/>
  <c r="N36" i="55" s="1"/>
  <c r="P9" i="54"/>
  <c r="P10" i="54" s="1"/>
  <c r="O36" i="55" s="1"/>
  <c r="K11" i="54"/>
  <c r="K15" i="54"/>
  <c r="K66" i="54" s="1"/>
  <c r="L65" i="54" s="1"/>
  <c r="M22" i="55" s="1"/>
  <c r="M11" i="54"/>
  <c r="M16" i="54"/>
  <c r="N13" i="55" s="1"/>
  <c r="O11" i="54"/>
  <c r="M33" i="54"/>
  <c r="K35" i="54"/>
  <c r="O35" i="54"/>
  <c r="Q43" i="15"/>
  <c r="N9" i="53"/>
  <c r="N11" i="52"/>
  <c r="N12" i="52" s="1"/>
  <c r="N11" i="53" s="1"/>
  <c r="N9" i="57"/>
  <c r="N11" i="56"/>
  <c r="N10" i="57"/>
  <c r="N9" i="55"/>
  <c r="M15" i="54"/>
  <c r="M66" i="54"/>
  <c r="N65" i="54" s="1"/>
  <c r="N22" i="55" s="1"/>
  <c r="L10" i="54"/>
  <c r="M36" i="55" s="1"/>
  <c r="N11" i="54"/>
  <c r="N12" i="54" s="1"/>
  <c r="N11" i="55" s="1"/>
  <c r="N10" i="53"/>
  <c r="U48" i="14"/>
  <c r="T48" i="14"/>
  <c r="V48" i="14"/>
  <c r="AA48" i="14"/>
  <c r="AB48" i="14"/>
  <c r="Z48" i="14"/>
  <c r="N12" i="55"/>
  <c r="N8" i="55"/>
  <c r="M9" i="55"/>
  <c r="O8" i="55"/>
  <c r="M33" i="44"/>
  <c r="L11" i="54"/>
  <c r="M10" i="55" s="1"/>
  <c r="K16" i="54"/>
  <c r="M13" i="55"/>
  <c r="P11" i="54"/>
  <c r="O10" i="53"/>
  <c r="P12" i="54"/>
  <c r="O11" i="55" s="1"/>
  <c r="O10" i="55"/>
  <c r="T52" i="14"/>
  <c r="V52" i="14"/>
  <c r="U52" i="14"/>
  <c r="AA52" i="14"/>
  <c r="AB52" i="14"/>
  <c r="Z52" i="14"/>
  <c r="L12" i="54"/>
  <c r="M11" i="55"/>
  <c r="M12" i="55"/>
  <c r="N10" i="55"/>
  <c r="M8" i="53"/>
  <c r="M36" i="53"/>
  <c r="M15" i="56"/>
  <c r="N12" i="57" s="1"/>
  <c r="M16" i="56"/>
  <c r="N13" i="57"/>
  <c r="P12" i="44"/>
  <c r="O11" i="45" s="1"/>
  <c r="N25" i="56"/>
  <c r="O9" i="53"/>
  <c r="M6" i="9"/>
  <c r="D46" i="56"/>
  <c r="D47" i="56"/>
  <c r="D45" i="56"/>
  <c r="I51" i="52"/>
  <c r="X51" i="52" s="1"/>
  <c r="H51" i="52"/>
  <c r="I49" i="52"/>
  <c r="R49" i="52" s="1"/>
  <c r="H49" i="52"/>
  <c r="AD67" i="10" l="1"/>
  <c r="AD53" i="10"/>
  <c r="AD35" i="10"/>
  <c r="N54" i="54"/>
  <c r="M36" i="8"/>
  <c r="M10" i="8"/>
  <c r="O35" i="44"/>
  <c r="O33" i="44"/>
  <c r="O7" i="45"/>
  <c r="AJ6" i="3" s="1"/>
  <c r="P25" i="42"/>
  <c r="P24" i="42" s="1"/>
  <c r="O15" i="43" s="1"/>
  <c r="L25" i="42"/>
  <c r="L24" i="42" s="1"/>
  <c r="M15" i="43" s="1"/>
  <c r="N25" i="40"/>
  <c r="N24" i="40" s="1"/>
  <c r="N15" i="41" s="1"/>
  <c r="N25" i="42"/>
  <c r="N24" i="42" s="1"/>
  <c r="N15" i="43" s="1"/>
  <c r="P25" i="40"/>
  <c r="P24" i="40" s="1"/>
  <c r="O15" i="41" s="1"/>
  <c r="L25" i="40"/>
  <c r="L24" i="40" s="1"/>
  <c r="M15" i="41" s="1"/>
  <c r="P25" i="46"/>
  <c r="P24" i="46" s="1"/>
  <c r="O15" i="47" s="1"/>
  <c r="L25" i="46"/>
  <c r="L24" i="46" s="1"/>
  <c r="M15" i="47" s="1"/>
  <c r="N25" i="46"/>
  <c r="N24" i="46" s="1"/>
  <c r="N15" i="47" s="1"/>
  <c r="L31" i="30"/>
  <c r="L30" i="30" s="1"/>
  <c r="L31" i="32"/>
  <c r="L30" i="32" s="1"/>
  <c r="P25" i="38"/>
  <c r="P24" i="38" s="1"/>
  <c r="O15" i="39" s="1"/>
  <c r="N25" i="38"/>
  <c r="N24" i="38" s="1"/>
  <c r="N15" i="39" s="1"/>
  <c r="P25" i="34"/>
  <c r="P24" i="34" s="1"/>
  <c r="O15" i="35" s="1"/>
  <c r="L25" i="34"/>
  <c r="L24" i="34" s="1"/>
  <c r="M15" i="35" s="1"/>
  <c r="P25" i="36"/>
  <c r="P24" i="36" s="1"/>
  <c r="O15" i="37" s="1"/>
  <c r="L25" i="36"/>
  <c r="L24" i="36" s="1"/>
  <c r="M15" i="37" s="1"/>
  <c r="P25" i="50"/>
  <c r="P24" i="50" s="1"/>
  <c r="O15" i="51" s="1"/>
  <c r="L25" i="50"/>
  <c r="L24" i="50" s="1"/>
  <c r="M15" i="51" s="1"/>
  <c r="L25" i="38"/>
  <c r="L24" i="38" s="1"/>
  <c r="M15" i="39" s="1"/>
  <c r="N25" i="34"/>
  <c r="N24" i="34" s="1"/>
  <c r="N15" i="35" s="1"/>
  <c r="N25" i="36"/>
  <c r="N24" i="36" s="1"/>
  <c r="N15" i="37" s="1"/>
  <c r="N25" i="50"/>
  <c r="N24" i="50" s="1"/>
  <c r="N15" i="51" s="1"/>
  <c r="L31" i="28"/>
  <c r="L30" i="28" s="1"/>
  <c r="L31" i="26"/>
  <c r="L30" i="26" s="1"/>
  <c r="L31" i="24"/>
  <c r="L30" i="24" s="1"/>
  <c r="L31" i="22"/>
  <c r="L30" i="22" s="1"/>
  <c r="L31" i="18"/>
  <c r="L30" i="18" s="1"/>
  <c r="L31" i="20"/>
  <c r="L30" i="20" s="1"/>
  <c r="L31" i="16"/>
  <c r="L30" i="16" s="1"/>
  <c r="P25" i="48"/>
  <c r="P24" i="48" s="1"/>
  <c r="O15" i="49" s="1"/>
  <c r="O17" i="49" s="1"/>
  <c r="L25" i="48"/>
  <c r="L24" i="48" s="1"/>
  <c r="M15" i="49" s="1"/>
  <c r="M17" i="49" s="1"/>
  <c r="N25" i="48"/>
  <c r="N24" i="48" s="1"/>
  <c r="N15" i="49" s="1"/>
  <c r="F54" i="12"/>
  <c r="O54" i="44"/>
  <c r="O53" i="44"/>
  <c r="K53" i="44"/>
  <c r="N9" i="44"/>
  <c r="M11" i="44"/>
  <c r="N9" i="45" s="1"/>
  <c r="AI8" i="3" s="1"/>
  <c r="E5" i="3"/>
  <c r="Q5" i="3"/>
  <c r="R51" i="52"/>
  <c r="O16" i="44"/>
  <c r="O13" i="45" s="1"/>
  <c r="AJ12" i="3" s="1"/>
  <c r="L11" i="44"/>
  <c r="M10" i="45" s="1"/>
  <c r="K15" i="44"/>
  <c r="K16" i="44"/>
  <c r="M15" i="44"/>
  <c r="O9" i="45"/>
  <c r="AJ8" i="3" s="1"/>
  <c r="AD31" i="10"/>
  <c r="AD76" i="10"/>
  <c r="AD70" i="10"/>
  <c r="AD66" i="10"/>
  <c r="AD62" i="10"/>
  <c r="AD60" i="10"/>
  <c r="AD48" i="10"/>
  <c r="AD46" i="10"/>
  <c r="AD44" i="10"/>
  <c r="AD42" i="10"/>
  <c r="AD40" i="10"/>
  <c r="AD38" i="10"/>
  <c r="AD36" i="10"/>
  <c r="AD34" i="10"/>
  <c r="AD32" i="10"/>
  <c r="AD30" i="10"/>
  <c r="AD28" i="10"/>
  <c r="M33" i="8"/>
  <c r="M31" i="8"/>
  <c r="M32" i="8"/>
  <c r="L27" i="32" s="1"/>
  <c r="Q12" i="14"/>
  <c r="O12" i="14"/>
  <c r="M12" i="14"/>
  <c r="P12" i="14"/>
  <c r="N12" i="14"/>
  <c r="Q10" i="14"/>
  <c r="Q15" i="14" s="1"/>
  <c r="O10" i="14"/>
  <c r="M10" i="14"/>
  <c r="P10" i="14"/>
  <c r="N10" i="14"/>
  <c r="Q9" i="14"/>
  <c r="O9" i="14"/>
  <c r="M9" i="14"/>
  <c r="P9" i="14"/>
  <c r="N9" i="14"/>
  <c r="Q11" i="14"/>
  <c r="O11" i="14"/>
  <c r="M11" i="14"/>
  <c r="P11" i="14"/>
  <c r="N11" i="14"/>
  <c r="Q8" i="14"/>
  <c r="Q14" i="14" s="1"/>
  <c r="O8" i="14"/>
  <c r="O14" i="14" s="1"/>
  <c r="P7" i="15" s="1"/>
  <c r="N8" i="14"/>
  <c r="N14" i="14" s="1"/>
  <c r="P8" i="14"/>
  <c r="P14" i="14" s="1"/>
  <c r="M8" i="14"/>
  <c r="M14" i="14" s="1"/>
  <c r="M17" i="14" s="1"/>
  <c r="Q78" i="14"/>
  <c r="R38" i="15" s="1"/>
  <c r="P78" i="14"/>
  <c r="Q38" i="15" s="1"/>
  <c r="P43" i="15"/>
  <c r="N52" i="54"/>
  <c r="W52" i="54"/>
  <c r="L52" i="54"/>
  <c r="Q67" i="14"/>
  <c r="R23" i="15" s="1"/>
  <c r="P67" i="14"/>
  <c r="Q23" i="15" s="1"/>
  <c r="N52" i="52"/>
  <c r="L25" i="52"/>
  <c r="L24" i="52" s="1"/>
  <c r="M15" i="53" s="1"/>
  <c r="L31" i="14"/>
  <c r="L30" i="14" s="1"/>
  <c r="M30" i="14" s="1"/>
  <c r="V31" i="15" s="1"/>
  <c r="N15" i="15" s="1"/>
  <c r="P25" i="54"/>
  <c r="P24" i="54" s="1"/>
  <c r="O15" i="55" s="1"/>
  <c r="M27" i="8"/>
  <c r="M28" i="8"/>
  <c r="M26" i="8"/>
  <c r="M24" i="8"/>
  <c r="M22" i="8"/>
  <c r="M20" i="8"/>
  <c r="M18" i="8"/>
  <c r="M16" i="8"/>
  <c r="M14" i="8"/>
  <c r="M12" i="8"/>
  <c r="M9" i="8"/>
  <c r="M29" i="8"/>
  <c r="M25" i="8"/>
  <c r="M23" i="8"/>
  <c r="M21" i="8"/>
  <c r="M19" i="8"/>
  <c r="M17" i="8"/>
  <c r="M15" i="8"/>
  <c r="M13" i="8"/>
  <c r="M11" i="8"/>
  <c r="M8" i="8"/>
  <c r="H19" i="44" s="1"/>
  <c r="L53" i="52"/>
  <c r="W53" i="52"/>
  <c r="P53" i="52"/>
  <c r="Z52" i="54"/>
  <c r="T52" i="54"/>
  <c r="U53" i="54"/>
  <c r="X53" i="54"/>
  <c r="Z54" i="54"/>
  <c r="W54" i="54"/>
  <c r="P54" i="54"/>
  <c r="T54" i="54"/>
  <c r="U55" i="54"/>
  <c r="X55" i="54"/>
  <c r="J2" i="57"/>
  <c r="N6" i="15"/>
  <c r="N43" i="15" s="1"/>
  <c r="AD75" i="10"/>
  <c r="AD63" i="10"/>
  <c r="AD59" i="10"/>
  <c r="AD27" i="10"/>
  <c r="AD77" i="10"/>
  <c r="AD73" i="10"/>
  <c r="AD71" i="10"/>
  <c r="AD69" i="10"/>
  <c r="AD65" i="10"/>
  <c r="AD57" i="10"/>
  <c r="AD55" i="10"/>
  <c r="AD51" i="10"/>
  <c r="AD49" i="10"/>
  <c r="AD47" i="10"/>
  <c r="U49" i="52"/>
  <c r="U54" i="52"/>
  <c r="R54" i="52"/>
  <c r="R52" i="52"/>
  <c r="X52" i="52"/>
  <c r="U52" i="52"/>
  <c r="U52" i="54"/>
  <c r="R52" i="54"/>
  <c r="X52" i="54"/>
  <c r="Z53" i="54"/>
  <c r="W53" i="54"/>
  <c r="P53" i="54"/>
  <c r="U54" i="54"/>
  <c r="R54" i="54"/>
  <c r="X54" i="54"/>
  <c r="Z55" i="54"/>
  <c r="P55" i="54"/>
  <c r="U51" i="52"/>
  <c r="X49" i="52"/>
  <c r="Q59" i="14"/>
  <c r="R25" i="15" s="1"/>
  <c r="M59" i="14"/>
  <c r="N25" i="15" s="1"/>
  <c r="L25" i="44"/>
  <c r="J2" i="55"/>
  <c r="J2" i="53"/>
  <c r="N24" i="52"/>
  <c r="N15" i="53" s="1"/>
  <c r="N24" i="56"/>
  <c r="N15" i="57" s="1"/>
  <c r="P25" i="52"/>
  <c r="P24" i="52" s="1"/>
  <c r="O15" i="53" s="1"/>
  <c r="P25" i="44"/>
  <c r="P24" i="44" s="1"/>
  <c r="O15" i="45" s="1"/>
  <c r="N25" i="44"/>
  <c r="N24" i="44" s="1"/>
  <c r="N15" i="45" s="1"/>
  <c r="L25" i="54"/>
  <c r="L24" i="54" s="1"/>
  <c r="M15" i="55" s="1"/>
  <c r="N25" i="54"/>
  <c r="N24" i="54" s="1"/>
  <c r="N15" i="55" s="1"/>
  <c r="L25" i="56"/>
  <c r="L24" i="56" s="1"/>
  <c r="M15" i="57" s="1"/>
  <c r="M34" i="8"/>
  <c r="M35" i="8"/>
  <c r="L28" i="14" s="1"/>
  <c r="L24" i="44"/>
  <c r="M15" i="45" s="1"/>
  <c r="P25" i="56"/>
  <c r="P24" i="56" s="1"/>
  <c r="O15" i="57" s="1"/>
  <c r="P59" i="14"/>
  <c r="Q25" i="15" s="1"/>
  <c r="L68" i="56"/>
  <c r="L67" i="56" s="1"/>
  <c r="M23" i="57" s="1"/>
  <c r="N68" i="56"/>
  <c r="N67" i="56" s="1"/>
  <c r="N23" i="57" s="1"/>
  <c r="L70" i="14"/>
  <c r="O67" i="14"/>
  <c r="P23" i="15" s="1"/>
  <c r="N23" i="15"/>
  <c r="L55" i="52"/>
  <c r="T55" i="52"/>
  <c r="W55" i="52"/>
  <c r="P55" i="52"/>
  <c r="N55" i="52"/>
  <c r="L54" i="52"/>
  <c r="P54" i="52"/>
  <c r="Z54" i="52"/>
  <c r="N54" i="52"/>
  <c r="T54" i="52"/>
  <c r="R53" i="52"/>
  <c r="U53" i="52"/>
  <c r="X53" i="52"/>
  <c r="L52" i="52"/>
  <c r="W52" i="52"/>
  <c r="P52" i="52"/>
  <c r="T52" i="52"/>
  <c r="T55" i="54"/>
  <c r="N55" i="54"/>
  <c r="T53" i="54"/>
  <c r="N53" i="54"/>
  <c r="W55" i="54"/>
  <c r="L55" i="54"/>
  <c r="L53" i="54"/>
  <c r="O59" i="14"/>
  <c r="P25" i="15" s="1"/>
  <c r="O8" i="45"/>
  <c r="AJ7" i="3" s="1"/>
  <c r="P10" i="44"/>
  <c r="O37" i="45" s="1"/>
  <c r="AJ31" i="3" s="1"/>
  <c r="N11" i="44"/>
  <c r="N12" i="44" s="1"/>
  <c r="N11" i="45" s="1"/>
  <c r="M9" i="45"/>
  <c r="AH8" i="3" s="1"/>
  <c r="M13" i="45"/>
  <c r="AH12" i="3" s="1"/>
  <c r="M8" i="45"/>
  <c r="AH7" i="3" s="1"/>
  <c r="L10" i="44"/>
  <c r="M37" i="45" s="1"/>
  <c r="AH31" i="3" s="1"/>
  <c r="N10" i="44"/>
  <c r="N37" i="45" s="1"/>
  <c r="AI31" i="3" s="1"/>
  <c r="N8" i="45"/>
  <c r="AI7" i="3" s="1"/>
  <c r="H27" i="56"/>
  <c r="I29" i="56" s="1"/>
  <c r="P29" i="56" s="1"/>
  <c r="L69" i="14"/>
  <c r="H32" i="14"/>
  <c r="H33" i="14" s="1"/>
  <c r="L32" i="14" s="1"/>
  <c r="M19" i="15" s="1"/>
  <c r="H27" i="52"/>
  <c r="H27" i="44"/>
  <c r="I30" i="44" s="1"/>
  <c r="N38" i="57"/>
  <c r="M38" i="57"/>
  <c r="M56" i="9"/>
  <c r="N59" i="14"/>
  <c r="O25" i="15" s="1"/>
  <c r="N67" i="14"/>
  <c r="O23" i="15" s="1"/>
  <c r="T53" i="52"/>
  <c r="N53" i="52"/>
  <c r="Z53" i="52"/>
  <c r="M41" i="9"/>
  <c r="M57" i="9" s="1"/>
  <c r="M30" i="9"/>
  <c r="M37" i="9" s="1"/>
  <c r="O9" i="55"/>
  <c r="O16" i="54"/>
  <c r="O13" i="55" s="1"/>
  <c r="O15" i="54"/>
  <c r="N9" i="52"/>
  <c r="N7" i="53"/>
  <c r="K16" i="52"/>
  <c r="M13" i="53" s="1"/>
  <c r="K15" i="52"/>
  <c r="M16" i="52"/>
  <c r="N13" i="53" s="1"/>
  <c r="M15" i="52"/>
  <c r="O16" i="52"/>
  <c r="O13" i="53" s="1"/>
  <c r="O15" i="52"/>
  <c r="M35" i="9"/>
  <c r="D19" i="52"/>
  <c r="D19" i="54"/>
  <c r="H27" i="54"/>
  <c r="H19" i="56"/>
  <c r="D19" i="56"/>
  <c r="U31" i="15"/>
  <c r="M15" i="15" s="1"/>
  <c r="Q30" i="14"/>
  <c r="Z31" i="15" s="1"/>
  <c r="R15" i="15" s="1"/>
  <c r="O30" i="14" l="1"/>
  <c r="X31" i="15" s="1"/>
  <c r="P15" i="15" s="1"/>
  <c r="P30" i="14"/>
  <c r="Y31" i="15" s="1"/>
  <c r="Q15" i="15" s="1"/>
  <c r="N30" i="14"/>
  <c r="W31" i="15" s="1"/>
  <c r="O15" i="15" s="1"/>
  <c r="H20" i="42"/>
  <c r="H20" i="40"/>
  <c r="H20" i="46"/>
  <c r="H20" i="38"/>
  <c r="H20" i="34"/>
  <c r="H20" i="36"/>
  <c r="H23" i="50"/>
  <c r="H20" i="50"/>
  <c r="L27" i="20"/>
  <c r="L27" i="16"/>
  <c r="L27" i="26"/>
  <c r="H23" i="40"/>
  <c r="H23" i="42"/>
  <c r="H23" i="46"/>
  <c r="H23" i="48"/>
  <c r="H20" i="48"/>
  <c r="H19" i="48"/>
  <c r="N19" i="48" s="1"/>
  <c r="N18" i="48" s="1"/>
  <c r="N16" i="49" s="1"/>
  <c r="N17" i="49" s="1"/>
  <c r="H23" i="34"/>
  <c r="H23" i="38"/>
  <c r="H23" i="36"/>
  <c r="H23" i="44"/>
  <c r="L23" i="44" s="1"/>
  <c r="M18" i="14"/>
  <c r="J38" i="41"/>
  <c r="J38" i="43"/>
  <c r="H19" i="54"/>
  <c r="P19" i="54" s="1"/>
  <c r="P18" i="54" s="1"/>
  <c r="O16" i="55" s="1"/>
  <c r="O17" i="55" s="1"/>
  <c r="O29" i="55" s="1"/>
  <c r="H19" i="52"/>
  <c r="L27" i="14"/>
  <c r="L27" i="28"/>
  <c r="L27" i="22"/>
  <c r="O49" i="49"/>
  <c r="AP43" i="3" s="1"/>
  <c r="O30" i="49"/>
  <c r="U31" i="21"/>
  <c r="M15" i="21" s="1"/>
  <c r="O30" i="20"/>
  <c r="X31" i="21" s="1"/>
  <c r="P15" i="21" s="1"/>
  <c r="Q30" i="20"/>
  <c r="Z31" i="21" s="1"/>
  <c r="R15" i="21" s="1"/>
  <c r="M30" i="20"/>
  <c r="V31" i="21" s="1"/>
  <c r="N15" i="21" s="1"/>
  <c r="P30" i="20"/>
  <c r="Y31" i="21" s="1"/>
  <c r="Q15" i="21" s="1"/>
  <c r="N30" i="20"/>
  <c r="W31" i="21" s="1"/>
  <c r="O15" i="21" s="1"/>
  <c r="U31" i="23"/>
  <c r="M15" i="23" s="1"/>
  <c r="M30" i="22"/>
  <c r="V31" i="23" s="1"/>
  <c r="N15" i="23" s="1"/>
  <c r="Q30" i="22"/>
  <c r="Z31" i="23" s="1"/>
  <c r="R15" i="23" s="1"/>
  <c r="P30" i="22"/>
  <c r="Y31" i="23" s="1"/>
  <c r="Q15" i="23" s="1"/>
  <c r="O30" i="22"/>
  <c r="X31" i="23" s="1"/>
  <c r="P15" i="23" s="1"/>
  <c r="N30" i="22"/>
  <c r="W31" i="23" s="1"/>
  <c r="O15" i="23" s="1"/>
  <c r="U31" i="27"/>
  <c r="M15" i="27" s="1"/>
  <c r="Q30" i="26"/>
  <c r="Z31" i="27" s="1"/>
  <c r="R15" i="27" s="1"/>
  <c r="M30" i="26"/>
  <c r="V31" i="27" s="1"/>
  <c r="N15" i="27" s="1"/>
  <c r="O30" i="26"/>
  <c r="X31" i="27" s="1"/>
  <c r="P15" i="27" s="1"/>
  <c r="P30" i="26"/>
  <c r="Y31" i="27" s="1"/>
  <c r="Q15" i="27" s="1"/>
  <c r="N30" i="26"/>
  <c r="W31" i="27" s="1"/>
  <c r="O15" i="27" s="1"/>
  <c r="U31" i="33"/>
  <c r="M15" i="33" s="1"/>
  <c r="O30" i="32"/>
  <c r="X31" i="33" s="1"/>
  <c r="P15" i="33" s="1"/>
  <c r="Q30" i="32"/>
  <c r="Z31" i="33" s="1"/>
  <c r="R15" i="33" s="1"/>
  <c r="M30" i="32"/>
  <c r="V31" i="33" s="1"/>
  <c r="N15" i="33" s="1"/>
  <c r="N30" i="32"/>
  <c r="W31" i="33" s="1"/>
  <c r="O15" i="33" s="1"/>
  <c r="P30" i="32"/>
  <c r="Y31" i="33" s="1"/>
  <c r="Q15" i="33" s="1"/>
  <c r="L26" i="14"/>
  <c r="H19" i="42"/>
  <c r="H19" i="40"/>
  <c r="H19" i="46"/>
  <c r="L26" i="30"/>
  <c r="L26" i="32"/>
  <c r="L25" i="32" s="1"/>
  <c r="H19" i="34"/>
  <c r="H19" i="36"/>
  <c r="H19" i="50"/>
  <c r="H19" i="38"/>
  <c r="L26" i="28"/>
  <c r="L26" i="24"/>
  <c r="L26" i="22"/>
  <c r="L26" i="26"/>
  <c r="L25" i="26" s="1"/>
  <c r="L26" i="18"/>
  <c r="L26" i="20"/>
  <c r="L25" i="20" s="1"/>
  <c r="L26" i="16"/>
  <c r="L25" i="16" s="1"/>
  <c r="H21" i="42"/>
  <c r="H21" i="40"/>
  <c r="H21" i="46"/>
  <c r="H21" i="48"/>
  <c r="H21" i="50"/>
  <c r="H21" i="38"/>
  <c r="H21" i="36"/>
  <c r="H21" i="34"/>
  <c r="L27" i="30"/>
  <c r="L27" i="24"/>
  <c r="L27" i="18"/>
  <c r="M49" i="49"/>
  <c r="AN43" i="3" s="1"/>
  <c r="M30" i="49"/>
  <c r="U31" i="17"/>
  <c r="M15" i="17" s="1"/>
  <c r="Q30" i="16"/>
  <c r="Z31" i="17" s="1"/>
  <c r="R15" i="17" s="1"/>
  <c r="M30" i="16"/>
  <c r="V31" i="17" s="1"/>
  <c r="N15" i="17" s="1"/>
  <c r="O30" i="16"/>
  <c r="X31" i="17" s="1"/>
  <c r="P15" i="17" s="1"/>
  <c r="N30" i="16"/>
  <c r="W31" i="17" s="1"/>
  <c r="O15" i="17" s="1"/>
  <c r="P30" i="16"/>
  <c r="Y31" i="17" s="1"/>
  <c r="Q15" i="17" s="1"/>
  <c r="U31" i="19"/>
  <c r="M15" i="19" s="1"/>
  <c r="Q30" i="18"/>
  <c r="Z31" i="19" s="1"/>
  <c r="R15" i="19" s="1"/>
  <c r="M30" i="18"/>
  <c r="V31" i="19" s="1"/>
  <c r="N15" i="19" s="1"/>
  <c r="O30" i="18"/>
  <c r="X31" i="19" s="1"/>
  <c r="P15" i="19" s="1"/>
  <c r="P30" i="18"/>
  <c r="Y31" i="19" s="1"/>
  <c r="Q15" i="19" s="1"/>
  <c r="N30" i="18"/>
  <c r="W31" i="19" s="1"/>
  <c r="O15" i="19" s="1"/>
  <c r="U31" i="25"/>
  <c r="M15" i="25" s="1"/>
  <c r="M30" i="24"/>
  <c r="V31" i="25" s="1"/>
  <c r="N15" i="25" s="1"/>
  <c r="Q30" i="24"/>
  <c r="Z31" i="25" s="1"/>
  <c r="R15" i="25" s="1"/>
  <c r="N30" i="24"/>
  <c r="W31" i="25" s="1"/>
  <c r="O15" i="25" s="1"/>
  <c r="O30" i="24"/>
  <c r="X31" i="25" s="1"/>
  <c r="P15" i="25" s="1"/>
  <c r="P30" i="24"/>
  <c r="Y31" i="25" s="1"/>
  <c r="Q15" i="25" s="1"/>
  <c r="U31" i="29"/>
  <c r="M15" i="29" s="1"/>
  <c r="O30" i="28"/>
  <c r="X31" i="29" s="1"/>
  <c r="P15" i="29" s="1"/>
  <c r="Q30" i="28"/>
  <c r="Z31" i="29" s="1"/>
  <c r="R15" i="29" s="1"/>
  <c r="M30" i="28"/>
  <c r="V31" i="29" s="1"/>
  <c r="N15" i="29" s="1"/>
  <c r="N30" i="28"/>
  <c r="W31" i="29" s="1"/>
  <c r="O15" i="29" s="1"/>
  <c r="P30" i="28"/>
  <c r="Y31" i="29" s="1"/>
  <c r="Q15" i="29" s="1"/>
  <c r="U31" i="31"/>
  <c r="M15" i="31" s="1"/>
  <c r="O30" i="30"/>
  <c r="X31" i="31" s="1"/>
  <c r="P15" i="31" s="1"/>
  <c r="P30" i="30"/>
  <c r="Y31" i="31" s="1"/>
  <c r="Q15" i="31" s="1"/>
  <c r="Q30" i="30"/>
  <c r="Z31" i="31" s="1"/>
  <c r="R15" i="31" s="1"/>
  <c r="M30" i="30"/>
  <c r="V31" i="31" s="1"/>
  <c r="N15" i="31" s="1"/>
  <c r="N30" i="30"/>
  <c r="W31" i="31" s="1"/>
  <c r="O15" i="31" s="1"/>
  <c r="E15" i="3"/>
  <c r="Q15" i="3"/>
  <c r="L29" i="56"/>
  <c r="M19" i="57" s="1"/>
  <c r="J38" i="47"/>
  <c r="J38" i="49"/>
  <c r="I39" i="31"/>
  <c r="I39" i="33"/>
  <c r="J38" i="39"/>
  <c r="J38" i="35"/>
  <c r="J38" i="37"/>
  <c r="J38" i="51"/>
  <c r="N10" i="45"/>
  <c r="AI9" i="3" s="1"/>
  <c r="L12" i="44"/>
  <c r="M11" i="45" s="1"/>
  <c r="K56" i="44"/>
  <c r="K57" i="44" s="1"/>
  <c r="O56" i="44"/>
  <c r="O57" i="44" s="1"/>
  <c r="M16" i="44"/>
  <c r="N13" i="45" s="1"/>
  <c r="AI12" i="3" s="1"/>
  <c r="M53" i="44"/>
  <c r="M54" i="44"/>
  <c r="I39" i="25"/>
  <c r="I39" i="23"/>
  <c r="I39" i="19"/>
  <c r="I39" i="29"/>
  <c r="I39" i="27"/>
  <c r="I39" i="21"/>
  <c r="I39" i="17"/>
  <c r="K8" i="14"/>
  <c r="O66" i="44"/>
  <c r="P65" i="44" s="1"/>
  <c r="O22" i="45" s="1"/>
  <c r="O12" i="45"/>
  <c r="AJ11" i="3" s="1"/>
  <c r="M12" i="45"/>
  <c r="AH11" i="3" s="1"/>
  <c r="K66" i="44"/>
  <c r="L65" i="44" s="1"/>
  <c r="M22" i="45" s="1"/>
  <c r="Q17" i="14"/>
  <c r="R9" i="15" s="1"/>
  <c r="L29" i="14"/>
  <c r="H22" i="44"/>
  <c r="L22" i="44" s="1"/>
  <c r="H21" i="44"/>
  <c r="O13" i="14"/>
  <c r="N13" i="14"/>
  <c r="R7" i="15"/>
  <c r="P13" i="14"/>
  <c r="P17" i="14"/>
  <c r="P18" i="14" s="1"/>
  <c r="Q10" i="15" s="1"/>
  <c r="Q7" i="15"/>
  <c r="O17" i="14"/>
  <c r="O23" i="14" s="1"/>
  <c r="P13" i="15" s="1"/>
  <c r="K9" i="14"/>
  <c r="O15" i="14"/>
  <c r="M15" i="14"/>
  <c r="Q13" i="14"/>
  <c r="K14" i="14"/>
  <c r="K37" i="14" s="1"/>
  <c r="N17" i="14"/>
  <c r="N18" i="14" s="1"/>
  <c r="O10" i="15" s="1"/>
  <c r="O7" i="15"/>
  <c r="N15" i="14"/>
  <c r="N16" i="14" s="1"/>
  <c r="O37" i="15" s="1"/>
  <c r="M13" i="14"/>
  <c r="Q32" i="14"/>
  <c r="R19" i="15" s="1"/>
  <c r="X50" i="14"/>
  <c r="Q57" i="14" s="1"/>
  <c r="Q58" i="14" s="1"/>
  <c r="R36" i="15" s="1"/>
  <c r="AD50" i="14"/>
  <c r="Q43" i="14" s="1"/>
  <c r="R24" i="15" s="1"/>
  <c r="O32" i="14"/>
  <c r="P19" i="15" s="1"/>
  <c r="N32" i="14"/>
  <c r="O19" i="15" s="1"/>
  <c r="R8" i="15"/>
  <c r="Q16" i="14"/>
  <c r="M23" i="14"/>
  <c r="N13" i="15" s="1"/>
  <c r="N7" i="15"/>
  <c r="P15" i="14"/>
  <c r="Q18" i="14"/>
  <c r="R10" i="15" s="1"/>
  <c r="K48" i="14"/>
  <c r="P32" i="14"/>
  <c r="Q19" i="15" s="1"/>
  <c r="M32" i="14"/>
  <c r="N19" i="15" s="1"/>
  <c r="N29" i="56"/>
  <c r="N19" i="57" s="1"/>
  <c r="L67" i="14"/>
  <c r="M23" i="15" s="1"/>
  <c r="E20" i="3" s="1"/>
  <c r="M39" i="9"/>
  <c r="N19" i="44"/>
  <c r="L19" i="44"/>
  <c r="P19" i="44"/>
  <c r="L19" i="56"/>
  <c r="N19" i="56"/>
  <c r="P19" i="56"/>
  <c r="I30" i="56"/>
  <c r="P30" i="56" s="1"/>
  <c r="P27" i="56" s="1"/>
  <c r="I15" i="3"/>
  <c r="L5" i="13"/>
  <c r="M66" i="44"/>
  <c r="N65" i="44" s="1"/>
  <c r="N22" i="45" s="1"/>
  <c r="N12" i="45"/>
  <c r="AI11" i="3" s="1"/>
  <c r="M12" i="9"/>
  <c r="M14" i="9" s="1"/>
  <c r="J15" i="3"/>
  <c r="I29" i="52"/>
  <c r="I30" i="52"/>
  <c r="I29" i="44"/>
  <c r="H58" i="52"/>
  <c r="I61" i="52" s="1"/>
  <c r="I30" i="12"/>
  <c r="I18" i="12"/>
  <c r="I40" i="12"/>
  <c r="M32" i="9"/>
  <c r="M34" i="9"/>
  <c r="M33" i="9"/>
  <c r="X5" i="12" s="1"/>
  <c r="O19" i="57"/>
  <c r="O66" i="54"/>
  <c r="P65" i="54" s="1"/>
  <c r="O22" i="55" s="1"/>
  <c r="O12" i="55"/>
  <c r="N8" i="53"/>
  <c r="N36" i="53"/>
  <c r="M12" i="53"/>
  <c r="K66" i="52"/>
  <c r="L65" i="52" s="1"/>
  <c r="M22" i="53" s="1"/>
  <c r="N12" i="53"/>
  <c r="M66" i="52"/>
  <c r="N65" i="52" s="1"/>
  <c r="N22" i="53" s="1"/>
  <c r="O12" i="53"/>
  <c r="O66" i="52"/>
  <c r="P65" i="52" s="1"/>
  <c r="O22" i="53" s="1"/>
  <c r="I38" i="12"/>
  <c r="I42" i="12"/>
  <c r="H37" i="56"/>
  <c r="I35" i="12"/>
  <c r="I33" i="12"/>
  <c r="H59" i="14"/>
  <c r="I14" i="12"/>
  <c r="I24" i="12"/>
  <c r="I13" i="12"/>
  <c r="I27" i="12"/>
  <c r="H58" i="56"/>
  <c r="I16" i="12"/>
  <c r="I41" i="12"/>
  <c r="I17" i="12"/>
  <c r="I21" i="12"/>
  <c r="I39" i="12"/>
  <c r="I26" i="12"/>
  <c r="I23" i="12"/>
  <c r="H37" i="44"/>
  <c r="H37" i="52"/>
  <c r="I32" i="12"/>
  <c r="I31" i="12"/>
  <c r="H58" i="44"/>
  <c r="I28" i="12"/>
  <c r="I20" i="12"/>
  <c r="H58" i="54"/>
  <c r="I36" i="12"/>
  <c r="H40" i="14"/>
  <c r="I42" i="14" s="1"/>
  <c r="L42" i="14" s="1"/>
  <c r="L40" i="14" s="1"/>
  <c r="I29" i="12"/>
  <c r="I37" i="12"/>
  <c r="H37" i="54"/>
  <c r="I34" i="12"/>
  <c r="Q5" i="12"/>
  <c r="I15" i="12"/>
  <c r="I19" i="12"/>
  <c r="I69" i="44"/>
  <c r="I69" i="52"/>
  <c r="I69" i="56"/>
  <c r="I69" i="54"/>
  <c r="N19" i="54"/>
  <c r="N18" i="54" s="1"/>
  <c r="N16" i="55" s="1"/>
  <c r="N17" i="55" s="1"/>
  <c r="N48" i="55" s="1"/>
  <c r="N19" i="52"/>
  <c r="N18" i="52" s="1"/>
  <c r="N16" i="53" s="1"/>
  <c r="N17" i="53" s="1"/>
  <c r="P19" i="52"/>
  <c r="P18" i="52" s="1"/>
  <c r="O16" i="53" s="1"/>
  <c r="O17" i="53" s="1"/>
  <c r="L19" i="52"/>
  <c r="L18" i="52" s="1"/>
  <c r="M16" i="53" s="1"/>
  <c r="M17" i="53" s="1"/>
  <c r="M48" i="53" s="1"/>
  <c r="J37" i="57"/>
  <c r="C32" i="3"/>
  <c r="J37" i="55"/>
  <c r="I39" i="15"/>
  <c r="J37" i="53"/>
  <c r="J38" i="45"/>
  <c r="J51" i="52"/>
  <c r="D20" i="56"/>
  <c r="I29" i="54"/>
  <c r="I30" i="54"/>
  <c r="L19" i="54" l="1"/>
  <c r="L18" i="54" s="1"/>
  <c r="M16" i="55" s="1"/>
  <c r="M17" i="55" s="1"/>
  <c r="M48" i="55" s="1"/>
  <c r="N49" i="49"/>
  <c r="AO43" i="3" s="1"/>
  <c r="N30" i="49"/>
  <c r="L27" i="56"/>
  <c r="K17" i="14"/>
  <c r="M9" i="15" s="1"/>
  <c r="L25" i="18"/>
  <c r="L25" i="22"/>
  <c r="L25" i="30"/>
  <c r="L70" i="42"/>
  <c r="L70" i="40"/>
  <c r="E33" i="40"/>
  <c r="E33" i="42"/>
  <c r="E33" i="46"/>
  <c r="E33" i="48"/>
  <c r="F36" i="30"/>
  <c r="L36" i="30" s="1"/>
  <c r="F36" i="32"/>
  <c r="L36" i="32" s="1"/>
  <c r="E33" i="34"/>
  <c r="E33" i="36"/>
  <c r="E33" i="38"/>
  <c r="E33" i="50"/>
  <c r="AN13" i="3"/>
  <c r="AN24" i="3"/>
  <c r="O25" i="20"/>
  <c r="X30" i="21" s="1"/>
  <c r="U30" i="21"/>
  <c r="N25" i="20"/>
  <c r="W30" i="21" s="1"/>
  <c r="M25" i="20"/>
  <c r="V30" i="21" s="1"/>
  <c r="Q25" i="20"/>
  <c r="Z30" i="21" s="1"/>
  <c r="P25" i="20"/>
  <c r="Y30" i="21" s="1"/>
  <c r="Q25" i="26"/>
  <c r="Z30" i="27" s="1"/>
  <c r="M25" i="26"/>
  <c r="V30" i="27" s="1"/>
  <c r="N25" i="26"/>
  <c r="W30" i="27" s="1"/>
  <c r="U30" i="27"/>
  <c r="O25" i="26"/>
  <c r="X30" i="27" s="1"/>
  <c r="P25" i="26"/>
  <c r="Y30" i="27" s="1"/>
  <c r="L25" i="24"/>
  <c r="N19" i="38"/>
  <c r="N18" i="38" s="1"/>
  <c r="N16" i="39" s="1"/>
  <c r="N17" i="39" s="1"/>
  <c r="P19" i="38"/>
  <c r="P18" i="38" s="1"/>
  <c r="O16" i="39" s="1"/>
  <c r="O17" i="39" s="1"/>
  <c r="L19" i="38"/>
  <c r="L18" i="38" s="1"/>
  <c r="M16" i="39" s="1"/>
  <c r="M17" i="39" s="1"/>
  <c r="N19" i="36"/>
  <c r="N18" i="36" s="1"/>
  <c r="N16" i="37" s="1"/>
  <c r="N17" i="37" s="1"/>
  <c r="L19" i="36"/>
  <c r="L18" i="36" s="1"/>
  <c r="M16" i="37" s="1"/>
  <c r="M17" i="37" s="1"/>
  <c r="P19" i="36"/>
  <c r="P18" i="36" s="1"/>
  <c r="O16" i="37" s="1"/>
  <c r="O17" i="37" s="1"/>
  <c r="Q25" i="32"/>
  <c r="Z30" i="33" s="1"/>
  <c r="M25" i="32"/>
  <c r="V30" i="33" s="1"/>
  <c r="N25" i="32"/>
  <c r="W30" i="33" s="1"/>
  <c r="U30" i="33"/>
  <c r="O25" i="32"/>
  <c r="X30" i="33" s="1"/>
  <c r="P25" i="32"/>
  <c r="Y30" i="33" s="1"/>
  <c r="N19" i="46"/>
  <c r="N18" i="46" s="1"/>
  <c r="N16" i="47" s="1"/>
  <c r="N17" i="47" s="1"/>
  <c r="L19" i="46"/>
  <c r="L18" i="46" s="1"/>
  <c r="M16" i="47" s="1"/>
  <c r="M17" i="47" s="1"/>
  <c r="P19" i="46"/>
  <c r="P18" i="46" s="1"/>
  <c r="O16" i="47" s="1"/>
  <c r="O17" i="47" s="1"/>
  <c r="N19" i="42"/>
  <c r="N18" i="42" s="1"/>
  <c r="N16" i="43" s="1"/>
  <c r="N17" i="43" s="1"/>
  <c r="P19" i="42"/>
  <c r="P18" i="42" s="1"/>
  <c r="O16" i="43" s="1"/>
  <c r="O17" i="43" s="1"/>
  <c r="L19" i="42"/>
  <c r="L18" i="42" s="1"/>
  <c r="M16" i="43" s="1"/>
  <c r="M17" i="43" s="1"/>
  <c r="AO13" i="3"/>
  <c r="AO24" i="3"/>
  <c r="L25" i="28"/>
  <c r="N38" i="43"/>
  <c r="AF32" i="3" s="1"/>
  <c r="O38" i="43"/>
  <c r="AG32" i="3" s="1"/>
  <c r="M38" i="43"/>
  <c r="AE32" i="3" s="1"/>
  <c r="U30" i="17"/>
  <c r="N25" i="16"/>
  <c r="W30" i="17" s="1"/>
  <c r="P25" i="16"/>
  <c r="Y30" i="17" s="1"/>
  <c r="Q25" i="16"/>
  <c r="Z30" i="17" s="1"/>
  <c r="O25" i="16"/>
  <c r="X30" i="17" s="1"/>
  <c r="M25" i="16"/>
  <c r="V30" i="17" s="1"/>
  <c r="U30" i="19"/>
  <c r="N25" i="18"/>
  <c r="W30" i="19" s="1"/>
  <c r="O25" i="18"/>
  <c r="X30" i="19" s="1"/>
  <c r="P25" i="18"/>
  <c r="Y30" i="19" s="1"/>
  <c r="Q25" i="18"/>
  <c r="Z30" i="19" s="1"/>
  <c r="M25" i="18"/>
  <c r="V30" i="19" s="1"/>
  <c r="U30" i="23"/>
  <c r="O25" i="22"/>
  <c r="X30" i="23" s="1"/>
  <c r="P25" i="22"/>
  <c r="Y30" i="23" s="1"/>
  <c r="M25" i="22"/>
  <c r="V30" i="23" s="1"/>
  <c r="Q25" i="22"/>
  <c r="Z30" i="23" s="1"/>
  <c r="N25" i="22"/>
  <c r="W30" i="23" s="1"/>
  <c r="N19" i="50"/>
  <c r="N18" i="50" s="1"/>
  <c r="N16" i="51" s="1"/>
  <c r="N17" i="51" s="1"/>
  <c r="P19" i="50"/>
  <c r="P18" i="50" s="1"/>
  <c r="O16" i="51" s="1"/>
  <c r="O17" i="51" s="1"/>
  <c r="L19" i="50"/>
  <c r="L18" i="50" s="1"/>
  <c r="M16" i="51" s="1"/>
  <c r="M17" i="51" s="1"/>
  <c r="N19" i="34"/>
  <c r="N18" i="34" s="1"/>
  <c r="N16" i="35" s="1"/>
  <c r="N17" i="35" s="1"/>
  <c r="L19" i="34"/>
  <c r="L18" i="34" s="1"/>
  <c r="M16" i="35" s="1"/>
  <c r="M17" i="35" s="1"/>
  <c r="P19" i="34"/>
  <c r="P18" i="34" s="1"/>
  <c r="O16" i="35" s="1"/>
  <c r="O17" i="35" s="1"/>
  <c r="U30" i="31"/>
  <c r="N25" i="30"/>
  <c r="W30" i="31" s="1"/>
  <c r="M25" i="30"/>
  <c r="V30" i="31" s="1"/>
  <c r="P25" i="30"/>
  <c r="Y30" i="31" s="1"/>
  <c r="Q25" i="30"/>
  <c r="Z30" i="31" s="1"/>
  <c r="O25" i="30"/>
  <c r="X30" i="31" s="1"/>
  <c r="N19" i="40"/>
  <c r="N18" i="40" s="1"/>
  <c r="N16" i="41" s="1"/>
  <c r="N17" i="41" s="1"/>
  <c r="P19" i="40"/>
  <c r="P18" i="40" s="1"/>
  <c r="O16" i="41" s="1"/>
  <c r="O17" i="41" s="1"/>
  <c r="L19" i="40"/>
  <c r="L18" i="40" s="1"/>
  <c r="M16" i="41" s="1"/>
  <c r="M17" i="41" s="1"/>
  <c r="AP13" i="3"/>
  <c r="AP24" i="3"/>
  <c r="N38" i="41"/>
  <c r="AC32" i="3" s="1"/>
  <c r="M38" i="41"/>
  <c r="AB32" i="3" s="1"/>
  <c r="O38" i="41"/>
  <c r="AD32" i="3" s="1"/>
  <c r="L70" i="46"/>
  <c r="L70" i="48"/>
  <c r="L72" i="30"/>
  <c r="L72" i="32"/>
  <c r="L70" i="38"/>
  <c r="L70" i="34"/>
  <c r="L70" i="36"/>
  <c r="L70" i="50"/>
  <c r="M38" i="51"/>
  <c r="N38" i="51"/>
  <c r="O38" i="51"/>
  <c r="M38" i="35"/>
  <c r="S32" i="3" s="1"/>
  <c r="O38" i="35"/>
  <c r="U32" i="3" s="1"/>
  <c r="N38" i="35"/>
  <c r="T32" i="3" s="1"/>
  <c r="R39" i="33"/>
  <c r="P39" i="33"/>
  <c r="Q39" i="33"/>
  <c r="O39" i="33"/>
  <c r="N39" i="33"/>
  <c r="M39" i="33"/>
  <c r="P32" i="3" s="1"/>
  <c r="O38" i="49"/>
  <c r="N38" i="49"/>
  <c r="M38" i="49"/>
  <c r="N38" i="37"/>
  <c r="W32" i="3" s="1"/>
  <c r="O38" i="37"/>
  <c r="X32" i="3" s="1"/>
  <c r="M38" i="37"/>
  <c r="V32" i="3" s="1"/>
  <c r="M38" i="39"/>
  <c r="Y32" i="3" s="1"/>
  <c r="O38" i="39"/>
  <c r="AA32" i="3" s="1"/>
  <c r="N38" i="39"/>
  <c r="Z32" i="3" s="1"/>
  <c r="R39" i="31"/>
  <c r="P39" i="31"/>
  <c r="Q39" i="31"/>
  <c r="N39" i="31"/>
  <c r="O39" i="31"/>
  <c r="M39" i="31"/>
  <c r="N38" i="47"/>
  <c r="O38" i="47"/>
  <c r="M38" i="47"/>
  <c r="M56" i="44"/>
  <c r="M57" i="44" s="1"/>
  <c r="O18" i="14"/>
  <c r="P10" i="15" s="1"/>
  <c r="L72" i="26"/>
  <c r="L72" i="22"/>
  <c r="L72" i="18"/>
  <c r="L72" i="28"/>
  <c r="L72" i="24"/>
  <c r="L72" i="20"/>
  <c r="L72" i="16"/>
  <c r="Q39" i="17"/>
  <c r="R39" i="17"/>
  <c r="O39" i="17"/>
  <c r="P39" i="17"/>
  <c r="N39" i="17"/>
  <c r="M39" i="17"/>
  <c r="F32" i="3" s="1"/>
  <c r="Q39" i="27"/>
  <c r="R39" i="27"/>
  <c r="P39" i="27"/>
  <c r="O39" i="27"/>
  <c r="N39" i="27"/>
  <c r="M39" i="27"/>
  <c r="M32" i="3" s="1"/>
  <c r="Q39" i="19"/>
  <c r="R39" i="19"/>
  <c r="P39" i="19"/>
  <c r="O39" i="19"/>
  <c r="N39" i="19"/>
  <c r="M39" i="19"/>
  <c r="G32" i="3" s="1"/>
  <c r="Q39" i="25"/>
  <c r="R39" i="25"/>
  <c r="P39" i="25"/>
  <c r="O39" i="25"/>
  <c r="N39" i="25"/>
  <c r="M39" i="25"/>
  <c r="L32" i="3" s="1"/>
  <c r="R39" i="21"/>
  <c r="Q39" i="21"/>
  <c r="N39" i="21"/>
  <c r="P39" i="21"/>
  <c r="M39" i="21"/>
  <c r="H32" i="3" s="1"/>
  <c r="O39" i="21"/>
  <c r="O39" i="29"/>
  <c r="Q39" i="29"/>
  <c r="R39" i="29"/>
  <c r="P39" i="29"/>
  <c r="N39" i="29"/>
  <c r="M39" i="29"/>
  <c r="N32" i="3" s="1"/>
  <c r="Q39" i="23"/>
  <c r="R39" i="23"/>
  <c r="P39" i="23"/>
  <c r="O39" i="23"/>
  <c r="N39" i="23"/>
  <c r="M39" i="23"/>
  <c r="K32" i="3" s="1"/>
  <c r="M7" i="15"/>
  <c r="Q23" i="14"/>
  <c r="R13" i="15" s="1"/>
  <c r="Q22" i="14"/>
  <c r="R12" i="15" s="1"/>
  <c r="P8" i="15"/>
  <c r="O9" i="15"/>
  <c r="O22" i="14"/>
  <c r="P12" i="15" s="1"/>
  <c r="P22" i="14"/>
  <c r="Q12" i="15" s="1"/>
  <c r="Q61" i="15" s="1"/>
  <c r="Q9" i="15"/>
  <c r="P9" i="15"/>
  <c r="P23" i="14"/>
  <c r="Q13" i="15" s="1"/>
  <c r="Q66" i="15" s="1"/>
  <c r="K10" i="14"/>
  <c r="W66" i="14" s="1"/>
  <c r="O8" i="15"/>
  <c r="N23" i="14"/>
  <c r="O13" i="15" s="1"/>
  <c r="N8" i="15"/>
  <c r="M16" i="14"/>
  <c r="N37" i="15" s="1"/>
  <c r="O16" i="14"/>
  <c r="O77" i="14" s="1"/>
  <c r="J50" i="14"/>
  <c r="K15" i="14"/>
  <c r="K13" i="14" s="1"/>
  <c r="N22" i="14"/>
  <c r="O12" i="15" s="1"/>
  <c r="N10" i="15"/>
  <c r="M22" i="14"/>
  <c r="N12" i="15" s="1"/>
  <c r="K36" i="14"/>
  <c r="N77" i="14"/>
  <c r="F8" i="13"/>
  <c r="K11" i="13" s="1"/>
  <c r="F16" i="13"/>
  <c r="K32" i="13" s="1"/>
  <c r="F25" i="13"/>
  <c r="I20" i="13"/>
  <c r="I32" i="13"/>
  <c r="I21" i="13"/>
  <c r="L21" i="13" s="1"/>
  <c r="I19" i="13"/>
  <c r="I29" i="13"/>
  <c r="I28" i="13"/>
  <c r="K11" i="14"/>
  <c r="K38" i="14"/>
  <c r="K39" i="14"/>
  <c r="I12" i="13"/>
  <c r="L12" i="13" s="1"/>
  <c r="W50" i="14"/>
  <c r="P57" i="14" s="1"/>
  <c r="P58" i="14" s="1"/>
  <c r="Q36" i="15" s="1"/>
  <c r="Q39" i="15" s="1"/>
  <c r="AC50" i="14"/>
  <c r="P43" i="14" s="1"/>
  <c r="Q24" i="15" s="1"/>
  <c r="N9" i="15"/>
  <c r="J39" i="12"/>
  <c r="X39" i="12" s="1"/>
  <c r="I40" i="13"/>
  <c r="L40" i="13" s="1"/>
  <c r="J38" i="12"/>
  <c r="I39" i="13"/>
  <c r="L56" i="13"/>
  <c r="Q8" i="15"/>
  <c r="P16" i="14"/>
  <c r="P77" i="14" s="1"/>
  <c r="Q77" i="14"/>
  <c r="Q79" i="14"/>
  <c r="R37" i="15"/>
  <c r="R40" i="15" s="1"/>
  <c r="H48" i="56"/>
  <c r="I48" i="56"/>
  <c r="R48" i="56" s="1"/>
  <c r="V46" i="14"/>
  <c r="U46" i="14"/>
  <c r="T46" i="14"/>
  <c r="K46" i="14"/>
  <c r="K47" i="14"/>
  <c r="V47" i="14"/>
  <c r="U47" i="14"/>
  <c r="T47" i="14"/>
  <c r="H47" i="56"/>
  <c r="I47" i="52"/>
  <c r="H48" i="54"/>
  <c r="H47" i="52"/>
  <c r="I47" i="56"/>
  <c r="H45" i="56"/>
  <c r="I46" i="56"/>
  <c r="I49" i="54"/>
  <c r="I51" i="54"/>
  <c r="H46" i="54"/>
  <c r="H48" i="52"/>
  <c r="H49" i="54"/>
  <c r="I46" i="54"/>
  <c r="I50" i="54"/>
  <c r="I47" i="54"/>
  <c r="I48" i="52"/>
  <c r="H46" i="56"/>
  <c r="I46" i="52"/>
  <c r="H45" i="54"/>
  <c r="H47" i="54"/>
  <c r="I45" i="52"/>
  <c r="H46" i="52"/>
  <c r="H45" i="52"/>
  <c r="I45" i="54"/>
  <c r="H51" i="54"/>
  <c r="H50" i="54"/>
  <c r="I48" i="54"/>
  <c r="I45" i="56"/>
  <c r="D48" i="56"/>
  <c r="D49" i="56"/>
  <c r="M17" i="9"/>
  <c r="E36" i="54" s="1"/>
  <c r="M16" i="9"/>
  <c r="M15" i="9"/>
  <c r="E34" i="56" s="1"/>
  <c r="M49" i="9"/>
  <c r="M45" i="9"/>
  <c r="M48" i="9"/>
  <c r="M44" i="9"/>
  <c r="M43" i="9"/>
  <c r="M47" i="9"/>
  <c r="M50" i="9"/>
  <c r="F36" i="13"/>
  <c r="I11" i="13"/>
  <c r="N30" i="56"/>
  <c r="N27" i="56" s="1"/>
  <c r="I62" i="52"/>
  <c r="L62" i="52" s="1"/>
  <c r="Q33" i="15"/>
  <c r="O48" i="55"/>
  <c r="M29" i="53"/>
  <c r="N29" i="55"/>
  <c r="M29" i="55"/>
  <c r="H20" i="56"/>
  <c r="L20" i="56" s="1"/>
  <c r="L18" i="56" s="1"/>
  <c r="M16" i="57" s="1"/>
  <c r="M17" i="57" s="1"/>
  <c r="D20" i="44"/>
  <c r="H20" i="44"/>
  <c r="H20" i="52"/>
  <c r="D20" i="52"/>
  <c r="H20" i="54"/>
  <c r="D20" i="54"/>
  <c r="X6" i="12"/>
  <c r="J51" i="12" s="1"/>
  <c r="E33" i="44"/>
  <c r="I17" i="3"/>
  <c r="E33" i="56"/>
  <c r="J17" i="3"/>
  <c r="I43" i="12"/>
  <c r="P29" i="44"/>
  <c r="N29" i="44"/>
  <c r="L29" i="44"/>
  <c r="P30" i="52"/>
  <c r="L30" i="52"/>
  <c r="N30" i="52"/>
  <c r="N30" i="44"/>
  <c r="P30" i="44"/>
  <c r="L30" i="44"/>
  <c r="N29" i="52"/>
  <c r="P29" i="52"/>
  <c r="L29" i="52"/>
  <c r="L52" i="44"/>
  <c r="L72" i="14"/>
  <c r="L70" i="52"/>
  <c r="L70" i="44"/>
  <c r="L70" i="56"/>
  <c r="L70" i="54"/>
  <c r="J19" i="12"/>
  <c r="Y19" i="12" s="1"/>
  <c r="J31" i="12"/>
  <c r="J32" i="12"/>
  <c r="J28" i="12"/>
  <c r="J20" i="12"/>
  <c r="Y20" i="12" s="1"/>
  <c r="J37" i="12"/>
  <c r="J13" i="12"/>
  <c r="J30" i="12"/>
  <c r="J17" i="12"/>
  <c r="J15" i="12"/>
  <c r="Y15" i="12" s="1"/>
  <c r="J24" i="12"/>
  <c r="U24" i="12" s="1"/>
  <c r="J41" i="12"/>
  <c r="Y41" i="12" s="1"/>
  <c r="J36" i="12"/>
  <c r="J23" i="12"/>
  <c r="Y23" i="12" s="1"/>
  <c r="J29" i="12"/>
  <c r="J33" i="12"/>
  <c r="T33" i="12" s="1"/>
  <c r="J14" i="12"/>
  <c r="Y14" i="12" s="1"/>
  <c r="J27" i="12"/>
  <c r="J18" i="12"/>
  <c r="J21" i="12"/>
  <c r="Y21" i="12" s="1"/>
  <c r="I39" i="54"/>
  <c r="I40" i="54"/>
  <c r="I41" i="54"/>
  <c r="I62" i="44"/>
  <c r="I60" i="44"/>
  <c r="I61" i="44"/>
  <c r="M21" i="15"/>
  <c r="P40" i="14"/>
  <c r="Q21" i="15" s="1"/>
  <c r="Q40" i="14"/>
  <c r="R21" i="15" s="1"/>
  <c r="O40" i="14"/>
  <c r="P21" i="15" s="1"/>
  <c r="M40" i="14"/>
  <c r="N21" i="15" s="1"/>
  <c r="N40" i="14"/>
  <c r="O21" i="15" s="1"/>
  <c r="I60" i="54"/>
  <c r="I61" i="54"/>
  <c r="I62" i="54"/>
  <c r="I60" i="56"/>
  <c r="I62" i="56"/>
  <c r="I61" i="56"/>
  <c r="H63" i="14"/>
  <c r="L63" i="14" s="1"/>
  <c r="H61" i="14"/>
  <c r="L61" i="14" s="1"/>
  <c r="I40" i="56"/>
  <c r="I41" i="56"/>
  <c r="I39" i="56"/>
  <c r="U49" i="10"/>
  <c r="I36" i="53"/>
  <c r="M38" i="53" s="1"/>
  <c r="I36" i="55"/>
  <c r="N38" i="55" s="1"/>
  <c r="O48" i="53"/>
  <c r="O29" i="53"/>
  <c r="P61" i="52"/>
  <c r="N61" i="52"/>
  <c r="L61" i="52"/>
  <c r="I68" i="54"/>
  <c r="L68" i="44"/>
  <c r="I68" i="52"/>
  <c r="N48" i="53"/>
  <c r="N29" i="53"/>
  <c r="R39" i="15"/>
  <c r="P30" i="54"/>
  <c r="L30" i="54"/>
  <c r="N30" i="54"/>
  <c r="H21" i="56"/>
  <c r="P21" i="56" s="1"/>
  <c r="D21" i="56"/>
  <c r="N51" i="52"/>
  <c r="T51" i="52"/>
  <c r="P51" i="52"/>
  <c r="L51" i="52"/>
  <c r="W51" i="52"/>
  <c r="Z51" i="52"/>
  <c r="P29" i="54"/>
  <c r="N29" i="54"/>
  <c r="L29" i="54"/>
  <c r="R34" i="15"/>
  <c r="R66" i="15"/>
  <c r="R62" i="15"/>
  <c r="Q34" i="15" l="1"/>
  <c r="Q62" i="15"/>
  <c r="E34" i="54"/>
  <c r="U48" i="56"/>
  <c r="L27" i="52"/>
  <c r="M19" i="53" s="1"/>
  <c r="F39" i="14"/>
  <c r="L39" i="14" s="1"/>
  <c r="E36" i="52"/>
  <c r="S51" i="12"/>
  <c r="Y51" i="12"/>
  <c r="Y54" i="12" s="1"/>
  <c r="E34" i="42"/>
  <c r="E34" i="40"/>
  <c r="E34" i="46"/>
  <c r="E34" i="48"/>
  <c r="F37" i="30"/>
  <c r="L37" i="30" s="1"/>
  <c r="F37" i="32"/>
  <c r="L37" i="32" s="1"/>
  <c r="E34" i="34"/>
  <c r="E34" i="36"/>
  <c r="E34" i="38"/>
  <c r="E34" i="50"/>
  <c r="E36" i="42"/>
  <c r="E36" i="40"/>
  <c r="E36" i="46"/>
  <c r="E36" i="48"/>
  <c r="F39" i="30"/>
  <c r="L39" i="30" s="1"/>
  <c r="F39" i="32"/>
  <c r="L39" i="32" s="1"/>
  <c r="E36" i="38"/>
  <c r="E36" i="50"/>
  <c r="E36" i="34"/>
  <c r="E36" i="36"/>
  <c r="M49" i="41"/>
  <c r="AB43" i="3" s="1"/>
  <c r="M30" i="41"/>
  <c r="N49" i="41"/>
  <c r="AC43" i="3" s="1"/>
  <c r="N30" i="41"/>
  <c r="Z32" i="31"/>
  <c r="R17" i="31" s="1"/>
  <c r="R16" i="31"/>
  <c r="N16" i="31"/>
  <c r="V32" i="31"/>
  <c r="N17" i="31" s="1"/>
  <c r="M16" i="31"/>
  <c r="U32" i="31"/>
  <c r="M17" i="31" s="1"/>
  <c r="M49" i="35"/>
  <c r="S43" i="3" s="1"/>
  <c r="M30" i="35"/>
  <c r="M49" i="51"/>
  <c r="M30" i="51"/>
  <c r="N49" i="51"/>
  <c r="N30" i="51"/>
  <c r="Z32" i="23"/>
  <c r="R17" i="23" s="1"/>
  <c r="R16" i="23"/>
  <c r="Y32" i="23"/>
  <c r="Q17" i="23" s="1"/>
  <c r="Q16" i="23"/>
  <c r="U32" i="23"/>
  <c r="M17" i="23" s="1"/>
  <c r="M16" i="23"/>
  <c r="R16" i="19"/>
  <c r="Z32" i="19"/>
  <c r="R17" i="19" s="1"/>
  <c r="X32" i="19"/>
  <c r="P17" i="19" s="1"/>
  <c r="P16" i="19"/>
  <c r="U32" i="19"/>
  <c r="M17" i="19" s="1"/>
  <c r="M16" i="19"/>
  <c r="X32" i="17"/>
  <c r="P17" i="17" s="1"/>
  <c r="P16" i="17"/>
  <c r="Q16" i="17"/>
  <c r="Y32" i="17"/>
  <c r="Q17" i="17" s="1"/>
  <c r="M16" i="17"/>
  <c r="U32" i="17"/>
  <c r="M17" i="17" s="1"/>
  <c r="O25" i="28"/>
  <c r="X30" i="29" s="1"/>
  <c r="Q25" i="28"/>
  <c r="Z30" i="29" s="1"/>
  <c r="M25" i="28"/>
  <c r="V30" i="29" s="1"/>
  <c r="P25" i="28"/>
  <c r="Y30" i="29" s="1"/>
  <c r="U30" i="29"/>
  <c r="N25" i="28"/>
  <c r="W30" i="29" s="1"/>
  <c r="O30" i="43"/>
  <c r="O49" i="43"/>
  <c r="AG43" i="3" s="1"/>
  <c r="O49" i="47"/>
  <c r="AM43" i="3" s="1"/>
  <c r="O30" i="47"/>
  <c r="N30" i="47"/>
  <c r="N49" i="47"/>
  <c r="AL43" i="3" s="1"/>
  <c r="P16" i="33"/>
  <c r="X32" i="33"/>
  <c r="P17" i="33" s="1"/>
  <c r="O16" i="33"/>
  <c r="W32" i="33"/>
  <c r="O17" i="33" s="1"/>
  <c r="R16" i="33"/>
  <c r="Z32" i="33"/>
  <c r="R17" i="33" s="1"/>
  <c r="M49" i="37"/>
  <c r="V43" i="3" s="1"/>
  <c r="M30" i="37"/>
  <c r="M49" i="39"/>
  <c r="Y43" i="3" s="1"/>
  <c r="M30" i="39"/>
  <c r="N30" i="39"/>
  <c r="N49" i="39"/>
  <c r="Z43" i="3" s="1"/>
  <c r="Q16" i="27"/>
  <c r="Y32" i="27"/>
  <c r="Q17" i="27" s="1"/>
  <c r="M16" i="27"/>
  <c r="U32" i="27"/>
  <c r="M17" i="27" s="1"/>
  <c r="V32" i="27"/>
  <c r="N17" i="27" s="1"/>
  <c r="N16" i="27"/>
  <c r="Y32" i="21"/>
  <c r="Q17" i="21" s="1"/>
  <c r="Q16" i="21"/>
  <c r="V32" i="21"/>
  <c r="N17" i="21" s="1"/>
  <c r="N16" i="21"/>
  <c r="U32" i="21"/>
  <c r="M17" i="21" s="1"/>
  <c r="M16" i="21"/>
  <c r="N33" i="50"/>
  <c r="L33" i="50"/>
  <c r="P33" i="50"/>
  <c r="P33" i="36"/>
  <c r="L33" i="36"/>
  <c r="N33" i="36"/>
  <c r="N33" i="48"/>
  <c r="L33" i="48"/>
  <c r="P33" i="48"/>
  <c r="L33" i="42"/>
  <c r="P33" i="42"/>
  <c r="N33" i="42"/>
  <c r="E35" i="40"/>
  <c r="E35" i="42"/>
  <c r="E35" i="46"/>
  <c r="E35" i="48"/>
  <c r="F38" i="30"/>
  <c r="L38" i="30" s="1"/>
  <c r="F38" i="32"/>
  <c r="L38" i="32" s="1"/>
  <c r="L24" i="32" s="1"/>
  <c r="E35" i="38"/>
  <c r="E35" i="50"/>
  <c r="E35" i="34"/>
  <c r="E35" i="36"/>
  <c r="O49" i="41"/>
  <c r="AD43" i="3" s="1"/>
  <c r="O30" i="41"/>
  <c r="X32" i="31"/>
  <c r="P17" i="31" s="1"/>
  <c r="P16" i="31"/>
  <c r="Y32" i="31"/>
  <c r="Q17" i="31" s="1"/>
  <c r="Q16" i="31"/>
  <c r="O16" i="31"/>
  <c r="W32" i="31"/>
  <c r="O17" i="31" s="1"/>
  <c r="O49" i="35"/>
  <c r="U43" i="3" s="1"/>
  <c r="O30" i="35"/>
  <c r="N49" i="35"/>
  <c r="T43" i="3" s="1"/>
  <c r="N30" i="35"/>
  <c r="O49" i="51"/>
  <c r="O30" i="51"/>
  <c r="W32" i="23"/>
  <c r="O17" i="23" s="1"/>
  <c r="O16" i="23"/>
  <c r="V32" i="23"/>
  <c r="N17" i="23" s="1"/>
  <c r="N16" i="23"/>
  <c r="X32" i="23"/>
  <c r="P17" i="23" s="1"/>
  <c r="P16" i="23"/>
  <c r="N16" i="19"/>
  <c r="V32" i="19"/>
  <c r="N17" i="19" s="1"/>
  <c r="Q16" i="19"/>
  <c r="Y32" i="19"/>
  <c r="Q17" i="19" s="1"/>
  <c r="W32" i="19"/>
  <c r="O17" i="19" s="1"/>
  <c r="O16" i="19"/>
  <c r="V32" i="17"/>
  <c r="N17" i="17" s="1"/>
  <c r="N16" i="17"/>
  <c r="Z32" i="17"/>
  <c r="R17" i="17" s="1"/>
  <c r="R16" i="17"/>
  <c r="W32" i="17"/>
  <c r="O17" i="17" s="1"/>
  <c r="O16" i="17"/>
  <c r="M30" i="43"/>
  <c r="M49" i="43"/>
  <c r="AE43" i="3" s="1"/>
  <c r="N49" i="43"/>
  <c r="AF43" i="3" s="1"/>
  <c r="N30" i="43"/>
  <c r="M30" i="47"/>
  <c r="M49" i="47"/>
  <c r="AK43" i="3" s="1"/>
  <c r="Q16" i="33"/>
  <c r="Y32" i="33"/>
  <c r="Q17" i="33" s="1"/>
  <c r="M16" i="33"/>
  <c r="U32" i="33"/>
  <c r="M17" i="33" s="1"/>
  <c r="N16" i="33"/>
  <c r="V32" i="33"/>
  <c r="N17" i="33" s="1"/>
  <c r="O30" i="37"/>
  <c r="O49" i="37"/>
  <c r="X43" i="3" s="1"/>
  <c r="N30" i="37"/>
  <c r="N49" i="37"/>
  <c r="W43" i="3" s="1"/>
  <c r="O49" i="39"/>
  <c r="AA43" i="3" s="1"/>
  <c r="O30" i="39"/>
  <c r="U30" i="25"/>
  <c r="O25" i="24"/>
  <c r="X30" i="25" s="1"/>
  <c r="N25" i="24"/>
  <c r="W30" i="25" s="1"/>
  <c r="M25" i="24"/>
  <c r="V30" i="25" s="1"/>
  <c r="Q25" i="24"/>
  <c r="Z30" i="25" s="1"/>
  <c r="P25" i="24"/>
  <c r="Y30" i="25" s="1"/>
  <c r="P16" i="27"/>
  <c r="X32" i="27"/>
  <c r="P17" i="27" s="1"/>
  <c r="W32" i="27"/>
  <c r="O17" i="27" s="1"/>
  <c r="O16" i="27"/>
  <c r="Z32" i="27"/>
  <c r="R17" i="27" s="1"/>
  <c r="R16" i="27"/>
  <c r="Z32" i="21"/>
  <c r="R17" i="21" s="1"/>
  <c r="R16" i="21"/>
  <c r="W32" i="21"/>
  <c r="O17" i="21" s="1"/>
  <c r="O16" i="21"/>
  <c r="X32" i="21"/>
  <c r="P17" i="21" s="1"/>
  <c r="P16" i="21"/>
  <c r="N33" i="38"/>
  <c r="L33" i="38"/>
  <c r="P33" i="38"/>
  <c r="N33" i="34"/>
  <c r="L33" i="34"/>
  <c r="P33" i="34"/>
  <c r="L24" i="30"/>
  <c r="N33" i="46"/>
  <c r="L33" i="46"/>
  <c r="P33" i="46"/>
  <c r="L33" i="40"/>
  <c r="P33" i="40"/>
  <c r="N33" i="40"/>
  <c r="Q59" i="15"/>
  <c r="Q60" i="15" s="1"/>
  <c r="V18" i="12"/>
  <c r="Y18" i="12"/>
  <c r="V17" i="12"/>
  <c r="Y17" i="12"/>
  <c r="S13" i="12"/>
  <c r="X13" i="12"/>
  <c r="Y13" i="12"/>
  <c r="S31" i="12"/>
  <c r="S29" i="12"/>
  <c r="S32" i="12"/>
  <c r="T15" i="12"/>
  <c r="S37" i="12"/>
  <c r="S14" i="12"/>
  <c r="S36" i="12"/>
  <c r="Q50" i="15"/>
  <c r="Q65" i="15"/>
  <c r="Q53" i="15"/>
  <c r="K18" i="14"/>
  <c r="M10" i="15" s="1"/>
  <c r="E9" i="3" s="1"/>
  <c r="E17" i="3"/>
  <c r="Q17" i="3"/>
  <c r="P27" i="52"/>
  <c r="O19" i="53" s="1"/>
  <c r="N43" i="43"/>
  <c r="AF37" i="3" s="1"/>
  <c r="O43" i="41"/>
  <c r="M43" i="41"/>
  <c r="O43" i="43"/>
  <c r="AG37" i="3" s="1"/>
  <c r="M43" i="43"/>
  <c r="AE37" i="3" s="1"/>
  <c r="N43" i="41"/>
  <c r="N43" i="47"/>
  <c r="AL37" i="3" s="1"/>
  <c r="O43" i="47"/>
  <c r="AM37" i="3" s="1"/>
  <c r="M43" i="47"/>
  <c r="AK37" i="3" s="1"/>
  <c r="M44" i="31"/>
  <c r="M44" i="33"/>
  <c r="N43" i="39"/>
  <c r="Z37" i="3" s="1"/>
  <c r="N43" i="35"/>
  <c r="T37" i="3" s="1"/>
  <c r="O43" i="37"/>
  <c r="X37" i="3" s="1"/>
  <c r="M43" i="37"/>
  <c r="V37" i="3" s="1"/>
  <c r="O43" i="51"/>
  <c r="M43" i="51"/>
  <c r="O43" i="39"/>
  <c r="AA37" i="3" s="1"/>
  <c r="M43" i="39"/>
  <c r="Y37" i="3" s="1"/>
  <c r="O43" i="35"/>
  <c r="U37" i="3" s="1"/>
  <c r="M43" i="35"/>
  <c r="S37" i="3" s="1"/>
  <c r="N43" i="37"/>
  <c r="W37" i="3" s="1"/>
  <c r="N43" i="51"/>
  <c r="M42" i="55"/>
  <c r="I69" i="18"/>
  <c r="I69" i="20"/>
  <c r="L11" i="13"/>
  <c r="L13" i="13" s="1"/>
  <c r="I37" i="45" s="1"/>
  <c r="M39" i="45" s="1"/>
  <c r="AH33" i="3" s="1"/>
  <c r="AM32" i="3"/>
  <c r="O32" i="3"/>
  <c r="AN32" i="3"/>
  <c r="M67" i="49"/>
  <c r="AP32" i="3"/>
  <c r="O67" i="49"/>
  <c r="AK32" i="3"/>
  <c r="AL32" i="3"/>
  <c r="AO32" i="3"/>
  <c r="N67" i="49"/>
  <c r="X48" i="56"/>
  <c r="K12" i="14"/>
  <c r="K20" i="14"/>
  <c r="E6" i="3"/>
  <c r="Q6" i="3"/>
  <c r="E8" i="3"/>
  <c r="Q8" i="3"/>
  <c r="E34" i="52"/>
  <c r="P34" i="52" s="1"/>
  <c r="F37" i="14"/>
  <c r="L37" i="14" s="1"/>
  <c r="E34" i="44"/>
  <c r="L34" i="44" s="1"/>
  <c r="E36" i="56"/>
  <c r="P36" i="56" s="1"/>
  <c r="F36" i="28"/>
  <c r="L36" i="28" s="1"/>
  <c r="F36" i="24"/>
  <c r="L36" i="24" s="1"/>
  <c r="F36" i="22"/>
  <c r="L36" i="22" s="1"/>
  <c r="F36" i="18"/>
  <c r="L36" i="18" s="1"/>
  <c r="F36" i="26"/>
  <c r="L36" i="26" s="1"/>
  <c r="F36" i="20"/>
  <c r="L36" i="20" s="1"/>
  <c r="F36" i="16"/>
  <c r="L36" i="16" s="1"/>
  <c r="F38" i="28"/>
  <c r="L38" i="28" s="1"/>
  <c r="F38" i="24"/>
  <c r="L38" i="24" s="1"/>
  <c r="F38" i="22"/>
  <c r="L38" i="22" s="1"/>
  <c r="F38" i="18"/>
  <c r="L38" i="18" s="1"/>
  <c r="F38" i="26"/>
  <c r="L38" i="26" s="1"/>
  <c r="F38" i="20"/>
  <c r="L38" i="20" s="1"/>
  <c r="F38" i="16"/>
  <c r="L38" i="16" s="1"/>
  <c r="F37" i="26"/>
  <c r="L37" i="26" s="1"/>
  <c r="F37" i="20"/>
  <c r="L37" i="20" s="1"/>
  <c r="F37" i="18"/>
  <c r="L37" i="18" s="1"/>
  <c r="F37" i="28"/>
  <c r="L37" i="28" s="1"/>
  <c r="F37" i="24"/>
  <c r="L37" i="24" s="1"/>
  <c r="F37" i="22"/>
  <c r="L37" i="22" s="1"/>
  <c r="F37" i="16"/>
  <c r="L37" i="16" s="1"/>
  <c r="F39" i="26"/>
  <c r="L39" i="26" s="1"/>
  <c r="F39" i="20"/>
  <c r="L39" i="20" s="1"/>
  <c r="F39" i="28"/>
  <c r="L39" i="28" s="1"/>
  <c r="F39" i="24"/>
  <c r="L39" i="24" s="1"/>
  <c r="F39" i="22"/>
  <c r="L39" i="22" s="1"/>
  <c r="F39" i="18"/>
  <c r="L39" i="18" s="1"/>
  <c r="F39" i="16"/>
  <c r="L39" i="16" s="1"/>
  <c r="M44" i="29"/>
  <c r="N37" i="3" s="1"/>
  <c r="M44" i="27"/>
  <c r="M37" i="3" s="1"/>
  <c r="M44" i="19"/>
  <c r="G37" i="3" s="1"/>
  <c r="M44" i="25"/>
  <c r="L37" i="3" s="1"/>
  <c r="M44" i="23"/>
  <c r="K37" i="3" s="1"/>
  <c r="M44" i="21"/>
  <c r="H37" i="3" s="1"/>
  <c r="M44" i="17"/>
  <c r="F37" i="3" s="1"/>
  <c r="R61" i="15"/>
  <c r="R53" i="15"/>
  <c r="R50" i="15"/>
  <c r="R59" i="15"/>
  <c r="R60" i="15" s="1"/>
  <c r="R33" i="15"/>
  <c r="R65" i="15"/>
  <c r="M77" i="14"/>
  <c r="P37" i="15"/>
  <c r="M8" i="15"/>
  <c r="K23" i="14"/>
  <c r="M13" i="15" s="1"/>
  <c r="K21" i="14"/>
  <c r="K22" i="14"/>
  <c r="M12" i="15" s="1"/>
  <c r="L32" i="13"/>
  <c r="S39" i="12"/>
  <c r="K19" i="13"/>
  <c r="K28" i="13"/>
  <c r="K20" i="13"/>
  <c r="L20" i="13" s="1"/>
  <c r="K29" i="13"/>
  <c r="L29" i="13" s="1"/>
  <c r="L19" i="13"/>
  <c r="L22" i="13" s="1"/>
  <c r="E36" i="44"/>
  <c r="L36" i="44" s="1"/>
  <c r="W39" i="12"/>
  <c r="Q37" i="15"/>
  <c r="Q40" i="15" s="1"/>
  <c r="K16" i="14"/>
  <c r="M37" i="15" s="1"/>
  <c r="P79" i="14"/>
  <c r="U39" i="12"/>
  <c r="V39" i="12"/>
  <c r="P62" i="52"/>
  <c r="P58" i="52" s="1"/>
  <c r="O25" i="53" s="1"/>
  <c r="E35" i="56"/>
  <c r="L35" i="56" s="1"/>
  <c r="E35" i="54"/>
  <c r="N35" i="54" s="1"/>
  <c r="E33" i="52"/>
  <c r="P33" i="52" s="1"/>
  <c r="F36" i="14"/>
  <c r="L36" i="14" s="1"/>
  <c r="E33" i="54"/>
  <c r="P33" i="54" s="1"/>
  <c r="E35" i="52"/>
  <c r="L35" i="52" s="1"/>
  <c r="F38" i="14"/>
  <c r="L38" i="14" s="1"/>
  <c r="E35" i="44"/>
  <c r="N35" i="44" s="1"/>
  <c r="N20" i="56"/>
  <c r="N18" i="56" s="1"/>
  <c r="N16" i="57" s="1"/>
  <c r="N17" i="57" s="1"/>
  <c r="N29" i="57" s="1"/>
  <c r="X38" i="12"/>
  <c r="W38" i="12"/>
  <c r="V38" i="12"/>
  <c r="S38" i="12"/>
  <c r="U38" i="12"/>
  <c r="P52" i="44"/>
  <c r="R45" i="52"/>
  <c r="X45" i="52"/>
  <c r="U45" i="52"/>
  <c r="U50" i="54"/>
  <c r="X50" i="54"/>
  <c r="R50" i="54"/>
  <c r="X47" i="56"/>
  <c r="R47" i="56"/>
  <c r="U47" i="56"/>
  <c r="R45" i="56"/>
  <c r="X45" i="56"/>
  <c r="U45" i="56"/>
  <c r="X48" i="54"/>
  <c r="R48" i="54"/>
  <c r="U48" i="54"/>
  <c r="U45" i="54"/>
  <c r="X45" i="54"/>
  <c r="R45" i="54"/>
  <c r="U46" i="52"/>
  <c r="X46" i="52"/>
  <c r="R46" i="52"/>
  <c r="X48" i="52"/>
  <c r="U48" i="52"/>
  <c r="R48" i="52"/>
  <c r="U47" i="54"/>
  <c r="X47" i="54"/>
  <c r="R47" i="54"/>
  <c r="X46" i="54"/>
  <c r="U46" i="54"/>
  <c r="R46" i="54"/>
  <c r="U51" i="54"/>
  <c r="R51" i="54"/>
  <c r="X51" i="54"/>
  <c r="U49" i="54"/>
  <c r="X49" i="54"/>
  <c r="R49" i="54"/>
  <c r="R46" i="56"/>
  <c r="X46" i="56"/>
  <c r="U46" i="56"/>
  <c r="R47" i="52"/>
  <c r="X47" i="52"/>
  <c r="U47" i="52"/>
  <c r="N52" i="44"/>
  <c r="O42" i="53"/>
  <c r="O42" i="55"/>
  <c r="J37" i="3"/>
  <c r="N43" i="45"/>
  <c r="AI37" i="3" s="1"/>
  <c r="N42" i="57"/>
  <c r="M43" i="45"/>
  <c r="AH37" i="3" s="1"/>
  <c r="N42" i="53"/>
  <c r="M44" i="15"/>
  <c r="E37" i="3" s="1"/>
  <c r="O42" i="57"/>
  <c r="N42" i="55"/>
  <c r="M42" i="57"/>
  <c r="M42" i="53"/>
  <c r="O43" i="45"/>
  <c r="AJ37" i="3" s="1"/>
  <c r="K39" i="13"/>
  <c r="L39" i="13" s="1"/>
  <c r="L41" i="13" s="1"/>
  <c r="L65" i="7" s="1"/>
  <c r="O38" i="53"/>
  <c r="N62" i="52"/>
  <c r="O38" i="55"/>
  <c r="J51" i="54"/>
  <c r="P51" i="54" s="1"/>
  <c r="N38" i="53"/>
  <c r="J7" i="3"/>
  <c r="J6" i="3"/>
  <c r="I6" i="3"/>
  <c r="J8" i="3"/>
  <c r="I8" i="3"/>
  <c r="N48" i="57"/>
  <c r="P20" i="56"/>
  <c r="P18" i="56" s="1"/>
  <c r="O16" i="57" s="1"/>
  <c r="O17" i="57" s="1"/>
  <c r="L20" i="44"/>
  <c r="L18" i="44" s="1"/>
  <c r="M16" i="45" s="1"/>
  <c r="M17" i="45" s="1"/>
  <c r="N20" i="44"/>
  <c r="N18" i="44" s="1"/>
  <c r="N16" i="45" s="1"/>
  <c r="N17" i="45" s="1"/>
  <c r="P20" i="44"/>
  <c r="P18" i="44" s="1"/>
  <c r="O16" i="45" s="1"/>
  <c r="O17" i="45" s="1"/>
  <c r="M29" i="57"/>
  <c r="M48" i="57"/>
  <c r="M38" i="55"/>
  <c r="N27" i="54"/>
  <c r="N19" i="55" s="1"/>
  <c r="L27" i="54"/>
  <c r="M19" i="55" s="1"/>
  <c r="J46" i="56"/>
  <c r="J19" i="3"/>
  <c r="W21" i="12"/>
  <c r="U21" i="12"/>
  <c r="T27" i="12"/>
  <c r="S27" i="12"/>
  <c r="U23" i="12"/>
  <c r="V23" i="12"/>
  <c r="V41" i="12"/>
  <c r="S41" i="12"/>
  <c r="U41" i="12"/>
  <c r="X31" i="12"/>
  <c r="V20" i="12"/>
  <c r="U20" i="12"/>
  <c r="X32" i="12"/>
  <c r="U19" i="12"/>
  <c r="V19" i="12"/>
  <c r="J20" i="3"/>
  <c r="J47" i="52"/>
  <c r="J47" i="54"/>
  <c r="N27" i="52"/>
  <c r="N19" i="53" s="1"/>
  <c r="L27" i="44"/>
  <c r="M19" i="45" s="1"/>
  <c r="AH15" i="3" s="1"/>
  <c r="P27" i="44"/>
  <c r="O19" i="45" s="1"/>
  <c r="AJ15" i="3" s="1"/>
  <c r="N27" i="44"/>
  <c r="N19" i="45" s="1"/>
  <c r="AI15" i="3" s="1"/>
  <c r="P27" i="54"/>
  <c r="O19" i="55" s="1"/>
  <c r="L59" i="14"/>
  <c r="M25" i="15" s="1"/>
  <c r="J45" i="56"/>
  <c r="J46" i="54"/>
  <c r="J46" i="52"/>
  <c r="J48" i="52"/>
  <c r="J47" i="56"/>
  <c r="L48" i="14"/>
  <c r="J48" i="54"/>
  <c r="J49" i="52"/>
  <c r="J49" i="54"/>
  <c r="P39" i="56"/>
  <c r="N39" i="56"/>
  <c r="L39" i="56"/>
  <c r="L40" i="56"/>
  <c r="N40" i="56"/>
  <c r="P40" i="56"/>
  <c r="P62" i="56"/>
  <c r="L62" i="56"/>
  <c r="N62" i="56"/>
  <c r="N61" i="54"/>
  <c r="P61" i="54"/>
  <c r="L61" i="54"/>
  <c r="L41" i="44"/>
  <c r="N41" i="44"/>
  <c r="P41" i="44"/>
  <c r="P61" i="44"/>
  <c r="N61" i="44"/>
  <c r="L61" i="44"/>
  <c r="L62" i="44"/>
  <c r="P62" i="44"/>
  <c r="N62" i="44"/>
  <c r="N41" i="54"/>
  <c r="P41" i="54"/>
  <c r="L41" i="54"/>
  <c r="N39" i="54"/>
  <c r="L39" i="54"/>
  <c r="P39" i="54"/>
  <c r="X18" i="12"/>
  <c r="U18" i="12"/>
  <c r="W18" i="12"/>
  <c r="V14" i="12"/>
  <c r="U14" i="12"/>
  <c r="X14" i="12"/>
  <c r="T14" i="12"/>
  <c r="W14" i="12"/>
  <c r="X29" i="12"/>
  <c r="X36" i="12"/>
  <c r="T24" i="12"/>
  <c r="U17" i="12"/>
  <c r="X17" i="12"/>
  <c r="W17" i="12"/>
  <c r="W13" i="12"/>
  <c r="J43" i="12"/>
  <c r="U13" i="12"/>
  <c r="V13" i="12"/>
  <c r="X20" i="12"/>
  <c r="X19" i="12"/>
  <c r="W19" i="12"/>
  <c r="J45" i="52"/>
  <c r="J45" i="54"/>
  <c r="J48" i="56"/>
  <c r="J50" i="54"/>
  <c r="L41" i="56"/>
  <c r="N41" i="56"/>
  <c r="P41" i="56"/>
  <c r="N61" i="56"/>
  <c r="P61" i="56"/>
  <c r="L61" i="56"/>
  <c r="L60" i="56"/>
  <c r="P60" i="56"/>
  <c r="N60" i="56"/>
  <c r="P62" i="54"/>
  <c r="N62" i="54"/>
  <c r="L62" i="54"/>
  <c r="N60" i="54"/>
  <c r="P60" i="54"/>
  <c r="L60" i="54"/>
  <c r="P60" i="44"/>
  <c r="N60" i="44"/>
  <c r="L60" i="44"/>
  <c r="L40" i="54"/>
  <c r="P40" i="54"/>
  <c r="N40" i="54"/>
  <c r="W23" i="12"/>
  <c r="T41" i="12"/>
  <c r="W41" i="12"/>
  <c r="X41" i="12"/>
  <c r="W15" i="12"/>
  <c r="X15" i="12"/>
  <c r="U15" i="12"/>
  <c r="V15" i="12"/>
  <c r="S15" i="12"/>
  <c r="S30" i="12"/>
  <c r="X30" i="12"/>
  <c r="S28" i="12"/>
  <c r="T28" i="12"/>
  <c r="V51" i="12"/>
  <c r="V54" i="12" s="1"/>
  <c r="X51" i="12"/>
  <c r="X54" i="12" s="1"/>
  <c r="J54" i="12"/>
  <c r="S54" i="12"/>
  <c r="U51" i="12"/>
  <c r="U54" i="12" s="1"/>
  <c r="T51" i="12"/>
  <c r="T54" i="12" s="1"/>
  <c r="W51" i="12"/>
  <c r="W54" i="12" s="1"/>
  <c r="N34" i="56"/>
  <c r="L34" i="56"/>
  <c r="P34" i="56"/>
  <c r="L36" i="56"/>
  <c r="N36" i="56"/>
  <c r="N36" i="54"/>
  <c r="L36" i="54"/>
  <c r="P36" i="54"/>
  <c r="N44" i="15"/>
  <c r="N68" i="54"/>
  <c r="N67" i="54" s="1"/>
  <c r="N23" i="55" s="1"/>
  <c r="P68" i="54"/>
  <c r="P67" i="54" s="1"/>
  <c r="O23" i="55" s="1"/>
  <c r="L68" i="54"/>
  <c r="L67" i="54" s="1"/>
  <c r="M23" i="55" s="1"/>
  <c r="N58" i="52"/>
  <c r="N25" i="53" s="1"/>
  <c r="P33" i="56"/>
  <c r="N33" i="56"/>
  <c r="L33" i="56"/>
  <c r="P35" i="54"/>
  <c r="P35" i="56"/>
  <c r="N35" i="56"/>
  <c r="N34" i="52"/>
  <c r="L34" i="52"/>
  <c r="P34" i="44"/>
  <c r="L34" i="54"/>
  <c r="N34" i="54"/>
  <c r="P34" i="54"/>
  <c r="N36" i="44"/>
  <c r="N36" i="52"/>
  <c r="L36" i="52"/>
  <c r="P36" i="52"/>
  <c r="N68" i="52"/>
  <c r="N67" i="52" s="1"/>
  <c r="N23" i="53" s="1"/>
  <c r="L68" i="52"/>
  <c r="L67" i="52" s="1"/>
  <c r="M23" i="53" s="1"/>
  <c r="P68" i="52"/>
  <c r="P67" i="52" s="1"/>
  <c r="O23" i="53" s="1"/>
  <c r="L67" i="44"/>
  <c r="M23" i="45" s="1"/>
  <c r="AH20" i="3" s="1"/>
  <c r="P68" i="44"/>
  <c r="P67" i="44" s="1"/>
  <c r="O23" i="45" s="1"/>
  <c r="AJ20" i="3" s="1"/>
  <c r="N68" i="44"/>
  <c r="N67" i="44" s="1"/>
  <c r="N23" i="45" s="1"/>
  <c r="AI20" i="3" s="1"/>
  <c r="L58" i="52"/>
  <c r="M25" i="53" s="1"/>
  <c r="L33" i="44"/>
  <c r="P33" i="44"/>
  <c r="N33" i="44"/>
  <c r="L33" i="52"/>
  <c r="L33" i="54"/>
  <c r="N33" i="54"/>
  <c r="L35" i="44"/>
  <c r="P35" i="44" l="1"/>
  <c r="L35" i="54"/>
  <c r="N35" i="52"/>
  <c r="N33" i="52"/>
  <c r="P36" i="44"/>
  <c r="N34" i="44"/>
  <c r="N58" i="54"/>
  <c r="N25" i="55" s="1"/>
  <c r="P58" i="54"/>
  <c r="O25" i="55" s="1"/>
  <c r="P35" i="52"/>
  <c r="L34" i="32"/>
  <c r="M24" i="32"/>
  <c r="P24" i="32"/>
  <c r="D34" i="32"/>
  <c r="O24" i="32"/>
  <c r="N24" i="32"/>
  <c r="Q24" i="32"/>
  <c r="Y43" i="12"/>
  <c r="L34" i="30"/>
  <c r="D34" i="30"/>
  <c r="Q24" i="30"/>
  <c r="M24" i="30"/>
  <c r="O24" i="30"/>
  <c r="N24" i="30"/>
  <c r="P24" i="30"/>
  <c r="P30" i="21"/>
  <c r="P51" i="21"/>
  <c r="O51" i="21"/>
  <c r="O30" i="21"/>
  <c r="R51" i="21"/>
  <c r="R30" i="21"/>
  <c r="R51" i="27"/>
  <c r="R30" i="27"/>
  <c r="O51" i="27"/>
  <c r="O30" i="27"/>
  <c r="Z32" i="25"/>
  <c r="R17" i="25" s="1"/>
  <c r="R16" i="25"/>
  <c r="W32" i="25"/>
  <c r="O17" i="25" s="1"/>
  <c r="O16" i="25"/>
  <c r="U32" i="25"/>
  <c r="M17" i="25" s="1"/>
  <c r="M16" i="25"/>
  <c r="W13" i="3"/>
  <c r="W24" i="3"/>
  <c r="X13" i="3"/>
  <c r="X24" i="3"/>
  <c r="AK13" i="3"/>
  <c r="AK24" i="3"/>
  <c r="AE24" i="3"/>
  <c r="AE13" i="3"/>
  <c r="O51" i="17"/>
  <c r="O30" i="17"/>
  <c r="R30" i="17"/>
  <c r="R51" i="17"/>
  <c r="N30" i="17"/>
  <c r="N51" i="17"/>
  <c r="O51" i="19"/>
  <c r="O30" i="19"/>
  <c r="P51" i="23"/>
  <c r="P30" i="23"/>
  <c r="N30" i="23"/>
  <c r="N51" i="23"/>
  <c r="O51" i="23"/>
  <c r="O30" i="23"/>
  <c r="Q30" i="31"/>
  <c r="Q51" i="31"/>
  <c r="P30" i="31"/>
  <c r="P51" i="31"/>
  <c r="L35" i="34"/>
  <c r="P35" i="34"/>
  <c r="N35" i="34"/>
  <c r="L35" i="38"/>
  <c r="N35" i="38"/>
  <c r="P35" i="38"/>
  <c r="N35" i="46"/>
  <c r="P35" i="46"/>
  <c r="L35" i="46"/>
  <c r="N35" i="40"/>
  <c r="L35" i="40"/>
  <c r="P35" i="40"/>
  <c r="M51" i="27"/>
  <c r="M43" i="3" s="1"/>
  <c r="M30" i="27"/>
  <c r="M24" i="3" s="1"/>
  <c r="Q51" i="27"/>
  <c r="Q30" i="27"/>
  <c r="Y24" i="3"/>
  <c r="Y13" i="3"/>
  <c r="V24" i="3"/>
  <c r="V13" i="3"/>
  <c r="R51" i="33"/>
  <c r="R30" i="33"/>
  <c r="O51" i="33"/>
  <c r="O30" i="33"/>
  <c r="P51" i="33"/>
  <c r="P30" i="33"/>
  <c r="AM13" i="3"/>
  <c r="AM24" i="3"/>
  <c r="O16" i="29"/>
  <c r="W32" i="29"/>
  <c r="O17" i="29" s="1"/>
  <c r="Y32" i="29"/>
  <c r="Q17" i="29" s="1"/>
  <c r="Q16" i="29"/>
  <c r="Z32" i="29"/>
  <c r="R17" i="29" s="1"/>
  <c r="R16" i="29"/>
  <c r="M51" i="17"/>
  <c r="F43" i="3" s="1"/>
  <c r="M30" i="17"/>
  <c r="F24" i="3" s="1"/>
  <c r="Q51" i="17"/>
  <c r="Q30" i="17"/>
  <c r="R30" i="19"/>
  <c r="R51" i="19"/>
  <c r="S24" i="3"/>
  <c r="S13" i="3"/>
  <c r="M30" i="31"/>
  <c r="O24" i="3" s="1"/>
  <c r="M51" i="31"/>
  <c r="O43" i="3" s="1"/>
  <c r="N30" i="31"/>
  <c r="N51" i="31"/>
  <c r="AC24" i="3"/>
  <c r="AC13" i="3"/>
  <c r="AB24" i="3"/>
  <c r="AB13" i="3"/>
  <c r="P36" i="36"/>
  <c r="L36" i="36"/>
  <c r="N36" i="36"/>
  <c r="L36" i="50"/>
  <c r="N36" i="50"/>
  <c r="P36" i="50"/>
  <c r="P36" i="48"/>
  <c r="N36" i="48"/>
  <c r="L36" i="48"/>
  <c r="P36" i="40"/>
  <c r="L36" i="40"/>
  <c r="N36" i="40"/>
  <c r="P34" i="50"/>
  <c r="L34" i="50"/>
  <c r="N34" i="50"/>
  <c r="P34" i="36"/>
  <c r="L34" i="36"/>
  <c r="N34" i="36"/>
  <c r="N34" i="48"/>
  <c r="L34" i="48"/>
  <c r="P34" i="48"/>
  <c r="L34" i="40"/>
  <c r="N34" i="40"/>
  <c r="P34" i="40"/>
  <c r="P17" i="40" s="1"/>
  <c r="P31" i="40" s="1"/>
  <c r="O20" i="41" s="1"/>
  <c r="P51" i="27"/>
  <c r="P30" i="27"/>
  <c r="Q16" i="25"/>
  <c r="Y32" i="25"/>
  <c r="Q17" i="25" s="1"/>
  <c r="V32" i="25"/>
  <c r="N17" i="25" s="1"/>
  <c r="N16" i="25"/>
  <c r="X32" i="25"/>
  <c r="P17" i="25" s="1"/>
  <c r="P16" i="25"/>
  <c r="AA24" i="3"/>
  <c r="AA13" i="3"/>
  <c r="N51" i="33"/>
  <c r="N30" i="33"/>
  <c r="M51" i="33"/>
  <c r="P43" i="3" s="1"/>
  <c r="M30" i="33"/>
  <c r="P24" i="3" s="1"/>
  <c r="Q51" i="33"/>
  <c r="Q30" i="33"/>
  <c r="AF13" i="3"/>
  <c r="AF24" i="3"/>
  <c r="Q30" i="19"/>
  <c r="Q51" i="19"/>
  <c r="N30" i="19"/>
  <c r="N51" i="19"/>
  <c r="T24" i="3"/>
  <c r="T13" i="3"/>
  <c r="U24" i="3"/>
  <c r="U13" i="3"/>
  <c r="O30" i="31"/>
  <c r="O51" i="31"/>
  <c r="AD24" i="3"/>
  <c r="AD13" i="3"/>
  <c r="P35" i="36"/>
  <c r="N35" i="36"/>
  <c r="L35" i="36"/>
  <c r="L35" i="50"/>
  <c r="P35" i="50"/>
  <c r="N35" i="50"/>
  <c r="L35" i="48"/>
  <c r="P35" i="48"/>
  <c r="N35" i="48"/>
  <c r="P35" i="42"/>
  <c r="N35" i="42"/>
  <c r="L35" i="42"/>
  <c r="M51" i="21"/>
  <c r="H43" i="3" s="1"/>
  <c r="M30" i="21"/>
  <c r="H24" i="3" s="1"/>
  <c r="N51" i="21"/>
  <c r="N30" i="21"/>
  <c r="Q51" i="21"/>
  <c r="Q30" i="21"/>
  <c r="N51" i="27"/>
  <c r="N30" i="27"/>
  <c r="Z24" i="3"/>
  <c r="Z13" i="3"/>
  <c r="AL24" i="3"/>
  <c r="AL13" i="3"/>
  <c r="AG24" i="3"/>
  <c r="AG13" i="3"/>
  <c r="U32" i="29"/>
  <c r="M17" i="29" s="1"/>
  <c r="M16" i="29"/>
  <c r="V32" i="29"/>
  <c r="N17" i="29" s="1"/>
  <c r="N16" i="29"/>
  <c r="X32" i="29"/>
  <c r="P17" i="29" s="1"/>
  <c r="P16" i="29"/>
  <c r="P51" i="17"/>
  <c r="P30" i="17"/>
  <c r="M51" i="19"/>
  <c r="G43" i="3" s="1"/>
  <c r="M30" i="19"/>
  <c r="G24" i="3" s="1"/>
  <c r="P51" i="19"/>
  <c r="P30" i="19"/>
  <c r="M30" i="23"/>
  <c r="K24" i="3" s="1"/>
  <c r="M51" i="23"/>
  <c r="K43" i="3" s="1"/>
  <c r="Q51" i="23"/>
  <c r="Q30" i="23"/>
  <c r="R51" i="23"/>
  <c r="R30" i="23"/>
  <c r="R30" i="31"/>
  <c r="R51" i="31"/>
  <c r="L36" i="34"/>
  <c r="P36" i="34"/>
  <c r="N36" i="34"/>
  <c r="P36" i="38"/>
  <c r="L36" i="38"/>
  <c r="N36" i="38"/>
  <c r="N36" i="46"/>
  <c r="P36" i="46"/>
  <c r="L36" i="46"/>
  <c r="L36" i="42"/>
  <c r="P36" i="42"/>
  <c r="N36" i="42"/>
  <c r="P34" i="38"/>
  <c r="L34" i="38"/>
  <c r="N34" i="38"/>
  <c r="P34" i="34"/>
  <c r="P17" i="34" s="1"/>
  <c r="P31" i="34" s="1"/>
  <c r="O20" i="35" s="1"/>
  <c r="N34" i="34"/>
  <c r="N17" i="34" s="1"/>
  <c r="N31" i="34" s="1"/>
  <c r="N20" i="35" s="1"/>
  <c r="L34" i="34"/>
  <c r="N34" i="46"/>
  <c r="N17" i="46" s="1"/>
  <c r="N31" i="46" s="1"/>
  <c r="N20" i="47" s="1"/>
  <c r="P34" i="46"/>
  <c r="P17" i="46" s="1"/>
  <c r="P31" i="46" s="1"/>
  <c r="O20" i="47" s="1"/>
  <c r="L34" i="46"/>
  <c r="L17" i="46" s="1"/>
  <c r="N34" i="42"/>
  <c r="P34" i="42"/>
  <c r="L34" i="42"/>
  <c r="L17" i="42" s="1"/>
  <c r="X43" i="12"/>
  <c r="O41" i="43"/>
  <c r="AG35" i="3" s="1"/>
  <c r="M41" i="43"/>
  <c r="AE35" i="3" s="1"/>
  <c r="O41" i="41"/>
  <c r="AD35" i="3" s="1"/>
  <c r="M41" i="41"/>
  <c r="AB35" i="3" s="1"/>
  <c r="N41" i="41"/>
  <c r="AC35" i="3" s="1"/>
  <c r="N41" i="43"/>
  <c r="AF35" i="3" s="1"/>
  <c r="O44" i="15"/>
  <c r="Q37" i="3"/>
  <c r="R44" i="15"/>
  <c r="O37" i="3"/>
  <c r="O44" i="31"/>
  <c r="R44" i="31"/>
  <c r="P44" i="31"/>
  <c r="Q44" i="31"/>
  <c r="N44" i="31"/>
  <c r="AC37" i="3"/>
  <c r="AD37" i="3"/>
  <c r="P37" i="3"/>
  <c r="Q44" i="33"/>
  <c r="O44" i="33"/>
  <c r="N44" i="33"/>
  <c r="P44" i="33"/>
  <c r="R44" i="33"/>
  <c r="AB37" i="3"/>
  <c r="Q69" i="20"/>
  <c r="Q67" i="20" s="1"/>
  <c r="R23" i="21" s="1"/>
  <c r="O69" i="20"/>
  <c r="O67" i="20" s="1"/>
  <c r="P23" i="21" s="1"/>
  <c r="M69" i="20"/>
  <c r="M67" i="20" s="1"/>
  <c r="N23" i="21" s="1"/>
  <c r="P69" i="20"/>
  <c r="N69" i="20"/>
  <c r="N67" i="20" s="1"/>
  <c r="O23" i="21" s="1"/>
  <c r="P69" i="18"/>
  <c r="P67" i="18" s="1"/>
  <c r="Q23" i="19" s="1"/>
  <c r="N69" i="18"/>
  <c r="N67" i="18" s="1"/>
  <c r="O23" i="19" s="1"/>
  <c r="Q69" i="18"/>
  <c r="Q67" i="18" s="1"/>
  <c r="R23" i="19" s="1"/>
  <c r="O69" i="18"/>
  <c r="O67" i="18" s="1"/>
  <c r="P23" i="19" s="1"/>
  <c r="M69" i="18"/>
  <c r="P58" i="44"/>
  <c r="O25" i="45" s="1"/>
  <c r="AJ19" i="3" s="1"/>
  <c r="U43" i="12"/>
  <c r="O40" i="47" s="1"/>
  <c r="M42" i="31"/>
  <c r="M42" i="33"/>
  <c r="O41" i="47"/>
  <c r="AM35" i="3" s="1"/>
  <c r="M41" i="47"/>
  <c r="AK35" i="3" s="1"/>
  <c r="N41" i="47"/>
  <c r="AL35" i="3" s="1"/>
  <c r="N41" i="39"/>
  <c r="Z35" i="3" s="1"/>
  <c r="N41" i="35"/>
  <c r="T35" i="3" s="1"/>
  <c r="N41" i="37"/>
  <c r="W35" i="3" s="1"/>
  <c r="O41" i="51"/>
  <c r="M41" i="51"/>
  <c r="O41" i="39"/>
  <c r="AA35" i="3" s="1"/>
  <c r="M41" i="39"/>
  <c r="Y35" i="3" s="1"/>
  <c r="O41" i="35"/>
  <c r="U35" i="3" s="1"/>
  <c r="M41" i="35"/>
  <c r="S35" i="3" s="1"/>
  <c r="O41" i="37"/>
  <c r="X35" i="3" s="1"/>
  <c r="M41" i="37"/>
  <c r="V35" i="3" s="1"/>
  <c r="N41" i="51"/>
  <c r="I37" i="39"/>
  <c r="K65" i="7"/>
  <c r="I37" i="47"/>
  <c r="J65" i="7"/>
  <c r="I37" i="49"/>
  <c r="I37" i="37"/>
  <c r="M68" i="49"/>
  <c r="AN58" i="3"/>
  <c r="N68" i="49"/>
  <c r="AO58" i="3"/>
  <c r="O68" i="49"/>
  <c r="AP58" i="3"/>
  <c r="E7" i="3"/>
  <c r="Q7" i="3"/>
  <c r="E19" i="3"/>
  <c r="Q19" i="3"/>
  <c r="E31" i="3"/>
  <c r="Q31" i="3"/>
  <c r="E11" i="3"/>
  <c r="Q11" i="3"/>
  <c r="Q12" i="3"/>
  <c r="E12" i="3"/>
  <c r="L24" i="16"/>
  <c r="L34" i="16" s="1"/>
  <c r="L24" i="26"/>
  <c r="L34" i="26" s="1"/>
  <c r="L24" i="22"/>
  <c r="L34" i="22" s="1"/>
  <c r="L24" i="28"/>
  <c r="L34" i="28" s="1"/>
  <c r="L24" i="20"/>
  <c r="L34" i="20" s="1"/>
  <c r="L24" i="18"/>
  <c r="L34" i="18" s="1"/>
  <c r="L24" i="24"/>
  <c r="L34" i="24" s="1"/>
  <c r="I35" i="3"/>
  <c r="M42" i="29"/>
  <c r="N35" i="3" s="1"/>
  <c r="M42" i="23"/>
  <c r="K35" i="3" s="1"/>
  <c r="M42" i="21"/>
  <c r="H35" i="3" s="1"/>
  <c r="M42" i="19"/>
  <c r="G35" i="3" s="1"/>
  <c r="M42" i="27"/>
  <c r="M35" i="3" s="1"/>
  <c r="M42" i="25"/>
  <c r="L35" i="3" s="1"/>
  <c r="M42" i="17"/>
  <c r="F35" i="3" s="1"/>
  <c r="Q44" i="29"/>
  <c r="R44" i="29"/>
  <c r="O44" i="29"/>
  <c r="N44" i="29"/>
  <c r="P44" i="29"/>
  <c r="L28" i="13"/>
  <c r="O78" i="26"/>
  <c r="N78" i="24"/>
  <c r="N78" i="22"/>
  <c r="N78" i="26"/>
  <c r="O78" i="24"/>
  <c r="M78" i="24"/>
  <c r="M78" i="22"/>
  <c r="N44" i="17"/>
  <c r="O44" i="17"/>
  <c r="Q44" i="17"/>
  <c r="R44" i="17"/>
  <c r="P44" i="17"/>
  <c r="N44" i="23"/>
  <c r="P44" i="23"/>
  <c r="R44" i="23"/>
  <c r="O44" i="23"/>
  <c r="Q44" i="23"/>
  <c r="O44" i="19"/>
  <c r="Q44" i="19"/>
  <c r="P44" i="19"/>
  <c r="R44" i="19"/>
  <c r="N44" i="19"/>
  <c r="P78" i="20"/>
  <c r="N78" i="20"/>
  <c r="N78" i="18"/>
  <c r="O78" i="20"/>
  <c r="M78" i="20"/>
  <c r="O78" i="18"/>
  <c r="M78" i="18"/>
  <c r="P44" i="21"/>
  <c r="R44" i="21"/>
  <c r="O44" i="21"/>
  <c r="Q44" i="21"/>
  <c r="N44" i="21"/>
  <c r="R44" i="25"/>
  <c r="N44" i="25"/>
  <c r="P44" i="25"/>
  <c r="Q44" i="25"/>
  <c r="O44" i="25"/>
  <c r="P44" i="27"/>
  <c r="O44" i="27"/>
  <c r="Q44" i="27"/>
  <c r="N44" i="27"/>
  <c r="R44" i="27"/>
  <c r="O78" i="14"/>
  <c r="N78" i="14"/>
  <c r="M78" i="14"/>
  <c r="L33" i="13"/>
  <c r="I37" i="43" s="1"/>
  <c r="P44" i="15"/>
  <c r="Q44" i="15"/>
  <c r="L24" i="14"/>
  <c r="L34" i="14" s="1"/>
  <c r="K77" i="14"/>
  <c r="W51" i="54"/>
  <c r="K57" i="54"/>
  <c r="M35" i="55" s="1"/>
  <c r="M37" i="55" s="1"/>
  <c r="K56" i="54"/>
  <c r="M57" i="54"/>
  <c r="N35" i="55" s="1"/>
  <c r="N37" i="55" s="1"/>
  <c r="M56" i="54"/>
  <c r="O56" i="54"/>
  <c r="O57" i="54"/>
  <c r="O35" i="55" s="1"/>
  <c r="O37" i="55" s="1"/>
  <c r="N39" i="45"/>
  <c r="AI33" i="3" s="1"/>
  <c r="O39" i="45"/>
  <c r="AJ33" i="3" s="1"/>
  <c r="I37" i="3"/>
  <c r="L58" i="44"/>
  <c r="M25" i="45" s="1"/>
  <c r="AH19" i="3" s="1"/>
  <c r="Z51" i="54"/>
  <c r="T51" i="54"/>
  <c r="L51" i="54"/>
  <c r="N51" i="54"/>
  <c r="N17" i="54"/>
  <c r="N31" i="54" s="1"/>
  <c r="N20" i="55" s="1"/>
  <c r="I16" i="3"/>
  <c r="I12" i="3"/>
  <c r="I7" i="3"/>
  <c r="J11" i="3"/>
  <c r="I11" i="3"/>
  <c r="J12" i="3"/>
  <c r="O29" i="57"/>
  <c r="O48" i="57"/>
  <c r="N49" i="45"/>
  <c r="AI43" i="3" s="1"/>
  <c r="N30" i="45"/>
  <c r="O30" i="45"/>
  <c r="O49" i="45"/>
  <c r="AJ43" i="3" s="1"/>
  <c r="M49" i="45"/>
  <c r="AH43" i="3" s="1"/>
  <c r="M30" i="45"/>
  <c r="P17" i="52"/>
  <c r="P31" i="52" s="1"/>
  <c r="O20" i="53" s="1"/>
  <c r="T46" i="56"/>
  <c r="Z46" i="56"/>
  <c r="N46" i="56"/>
  <c r="L46" i="56"/>
  <c r="P46" i="56"/>
  <c r="W46" i="56"/>
  <c r="N58" i="44"/>
  <c r="N25" i="45" s="1"/>
  <c r="AI19" i="3" s="1"/>
  <c r="J35" i="3"/>
  <c r="P17" i="56"/>
  <c r="P31" i="56" s="1"/>
  <c r="O20" i="57" s="1"/>
  <c r="L47" i="54"/>
  <c r="W47" i="54"/>
  <c r="N47" i="54"/>
  <c r="P47" i="54"/>
  <c r="Z47" i="54"/>
  <c r="T47" i="54"/>
  <c r="P47" i="52"/>
  <c r="T47" i="52"/>
  <c r="L47" i="52"/>
  <c r="Z47" i="52"/>
  <c r="W47" i="52"/>
  <c r="N47" i="52"/>
  <c r="L45" i="44"/>
  <c r="P45" i="44"/>
  <c r="P58" i="56"/>
  <c r="O25" i="57" s="1"/>
  <c r="N17" i="52"/>
  <c r="N31" i="52" s="1"/>
  <c r="N20" i="53" s="1"/>
  <c r="P17" i="54"/>
  <c r="P31" i="54" s="1"/>
  <c r="O20" i="55" s="1"/>
  <c r="P17" i="44"/>
  <c r="P31" i="44" s="1"/>
  <c r="O20" i="45" s="1"/>
  <c r="AJ16" i="3" s="1"/>
  <c r="M40" i="53"/>
  <c r="N40" i="53"/>
  <c r="O40" i="53"/>
  <c r="N40" i="57"/>
  <c r="M40" i="55"/>
  <c r="M41" i="45"/>
  <c r="AH35" i="3" s="1"/>
  <c r="N40" i="55"/>
  <c r="N41" i="45"/>
  <c r="AI35" i="3" s="1"/>
  <c r="O40" i="55"/>
  <c r="M40" i="57"/>
  <c r="O40" i="57"/>
  <c r="O41" i="45"/>
  <c r="AJ35" i="3" s="1"/>
  <c r="L58" i="54"/>
  <c r="M25" i="55" s="1"/>
  <c r="N58" i="56"/>
  <c r="N25" i="57" s="1"/>
  <c r="L58" i="56"/>
  <c r="M25" i="57" s="1"/>
  <c r="W45" i="54"/>
  <c r="P45" i="54"/>
  <c r="Z45" i="54"/>
  <c r="L45" i="54"/>
  <c r="N45" i="54"/>
  <c r="T45" i="54"/>
  <c r="P48" i="44"/>
  <c r="L48" i="44"/>
  <c r="P37" i="54"/>
  <c r="O21" i="55" s="1"/>
  <c r="N37" i="54"/>
  <c r="N21" i="55" s="1"/>
  <c r="L37" i="44"/>
  <c r="M21" i="45" s="1"/>
  <c r="AH17" i="3" s="1"/>
  <c r="P37" i="52"/>
  <c r="O21" i="53" s="1"/>
  <c r="N37" i="56"/>
  <c r="N21" i="57" s="1"/>
  <c r="N48" i="54"/>
  <c r="Z48" i="54"/>
  <c r="L48" i="54"/>
  <c r="W48" i="54"/>
  <c r="P48" i="54"/>
  <c r="T48" i="54"/>
  <c r="P47" i="56"/>
  <c r="N47" i="56"/>
  <c r="Z47" i="56"/>
  <c r="W47" i="56"/>
  <c r="T47" i="56"/>
  <c r="L47" i="56"/>
  <c r="T48" i="52"/>
  <c r="P48" i="52"/>
  <c r="Z48" i="52"/>
  <c r="N48" i="52"/>
  <c r="L48" i="52"/>
  <c r="W48" i="52"/>
  <c r="W45" i="56"/>
  <c r="Z45" i="56"/>
  <c r="N45" i="56"/>
  <c r="P45" i="56"/>
  <c r="T45" i="56"/>
  <c r="L45" i="56"/>
  <c r="M42" i="15"/>
  <c r="Q35" i="3" s="1"/>
  <c r="N51" i="44"/>
  <c r="L51" i="44"/>
  <c r="P51" i="44"/>
  <c r="N50" i="54"/>
  <c r="Z50" i="54"/>
  <c r="P50" i="54"/>
  <c r="T50" i="54"/>
  <c r="L50" i="54"/>
  <c r="W50" i="54"/>
  <c r="N48" i="56"/>
  <c r="W48" i="56"/>
  <c r="T48" i="56"/>
  <c r="Z48" i="56"/>
  <c r="L48" i="56"/>
  <c r="P48" i="56"/>
  <c r="L45" i="52"/>
  <c r="N45" i="52"/>
  <c r="W45" i="52"/>
  <c r="P45" i="52"/>
  <c r="Z45" i="52"/>
  <c r="T45" i="52"/>
  <c r="Z47" i="14"/>
  <c r="AA47" i="14"/>
  <c r="AB47" i="14"/>
  <c r="L47" i="14"/>
  <c r="N46" i="44"/>
  <c r="L46" i="44"/>
  <c r="P46" i="44"/>
  <c r="V43" i="12"/>
  <c r="W43" i="12"/>
  <c r="S43" i="12"/>
  <c r="S45" i="12" s="1"/>
  <c r="T43" i="12"/>
  <c r="L37" i="54"/>
  <c r="M21" i="55" s="1"/>
  <c r="N37" i="44"/>
  <c r="N21" i="45" s="1"/>
  <c r="AI17" i="3" s="1"/>
  <c r="P37" i="44"/>
  <c r="O21" i="45" s="1"/>
  <c r="AJ17" i="3" s="1"/>
  <c r="N37" i="52"/>
  <c r="N21" i="53" s="1"/>
  <c r="L37" i="52"/>
  <c r="M21" i="53" s="1"/>
  <c r="L37" i="56"/>
  <c r="M21" i="57" s="1"/>
  <c r="P37" i="56"/>
  <c r="O21" i="57" s="1"/>
  <c r="Z49" i="54"/>
  <c r="L49" i="54"/>
  <c r="T49" i="54"/>
  <c r="P49" i="54"/>
  <c r="W49" i="54"/>
  <c r="N49" i="54"/>
  <c r="P49" i="52"/>
  <c r="T49" i="52"/>
  <c r="N49" i="52"/>
  <c r="Z49" i="52"/>
  <c r="W49" i="52"/>
  <c r="L49" i="52"/>
  <c r="L50" i="44"/>
  <c r="P50" i="44"/>
  <c r="N50" i="44"/>
  <c r="Z46" i="14"/>
  <c r="AA46" i="14"/>
  <c r="AB46" i="14"/>
  <c r="L46" i="14"/>
  <c r="P49" i="44"/>
  <c r="P46" i="52"/>
  <c r="W46" i="52"/>
  <c r="N46" i="52"/>
  <c r="Z46" i="52"/>
  <c r="T46" i="52"/>
  <c r="L46" i="52"/>
  <c r="Z46" i="54"/>
  <c r="P46" i="54"/>
  <c r="W46" i="54"/>
  <c r="T46" i="54"/>
  <c r="L46" i="54"/>
  <c r="N46" i="54"/>
  <c r="L17" i="54"/>
  <c r="C31" i="54" s="1"/>
  <c r="N17" i="44"/>
  <c r="N31" i="44" s="1"/>
  <c r="N20" i="45" s="1"/>
  <c r="AI16" i="3" s="1"/>
  <c r="L17" i="44"/>
  <c r="C31" i="44" s="1"/>
  <c r="N17" i="56"/>
  <c r="N31" i="56" s="1"/>
  <c r="N20" i="57" s="1"/>
  <c r="L17" i="52"/>
  <c r="C31" i="52" s="1"/>
  <c r="L17" i="56"/>
  <c r="C31" i="56" s="1"/>
  <c r="N17" i="42" l="1"/>
  <c r="N31" i="42" s="1"/>
  <c r="N20" i="43" s="1"/>
  <c r="N27" i="43" s="1"/>
  <c r="L17" i="34"/>
  <c r="N17" i="50"/>
  <c r="N31" i="50" s="1"/>
  <c r="N20" i="51" s="1"/>
  <c r="N27" i="51" s="1"/>
  <c r="N31" i="51" s="1"/>
  <c r="N65" i="51" s="1"/>
  <c r="N66" i="51" s="1"/>
  <c r="L17" i="38"/>
  <c r="C31" i="38" s="1"/>
  <c r="P17" i="48"/>
  <c r="P31" i="48" s="1"/>
  <c r="O20" i="49" s="1"/>
  <c r="O27" i="49" s="1"/>
  <c r="L17" i="36"/>
  <c r="C31" i="36" s="1"/>
  <c r="P17" i="42"/>
  <c r="P31" i="42" s="1"/>
  <c r="O20" i="43" s="1"/>
  <c r="AG16" i="3" s="1"/>
  <c r="N17" i="38"/>
  <c r="N31" i="38" s="1"/>
  <c r="N20" i="39" s="1"/>
  <c r="N27" i="39" s="1"/>
  <c r="P17" i="38"/>
  <c r="P31" i="38" s="1"/>
  <c r="O20" i="39" s="1"/>
  <c r="O27" i="39" s="1"/>
  <c r="N17" i="40"/>
  <c r="N31" i="40" s="1"/>
  <c r="N20" i="41" s="1"/>
  <c r="N27" i="41" s="1"/>
  <c r="N17" i="48"/>
  <c r="N31" i="48" s="1"/>
  <c r="N20" i="49" s="1"/>
  <c r="N27" i="49" s="1"/>
  <c r="L17" i="40"/>
  <c r="L31" i="40" s="1"/>
  <c r="M20" i="41" s="1"/>
  <c r="L17" i="48"/>
  <c r="C31" i="48" s="1"/>
  <c r="N17" i="36"/>
  <c r="N31" i="36" s="1"/>
  <c r="N20" i="37" s="1"/>
  <c r="N27" i="37" s="1"/>
  <c r="P17" i="36"/>
  <c r="P31" i="36" s="1"/>
  <c r="O20" i="37" s="1"/>
  <c r="O27" i="37" s="1"/>
  <c r="L17" i="50"/>
  <c r="P17" i="50"/>
  <c r="P31" i="50" s="1"/>
  <c r="O20" i="51" s="1"/>
  <c r="O27" i="51" s="1"/>
  <c r="O31" i="51" s="1"/>
  <c r="O65" i="51" s="1"/>
  <c r="O66" i="51" s="1"/>
  <c r="L31" i="46"/>
  <c r="M20" i="47" s="1"/>
  <c r="C31" i="46"/>
  <c r="AL16" i="3"/>
  <c r="N27" i="47"/>
  <c r="T16" i="3"/>
  <c r="N27" i="35"/>
  <c r="Z16" i="3"/>
  <c r="AA16" i="3"/>
  <c r="AC16" i="3"/>
  <c r="C31" i="42"/>
  <c r="L31" i="42"/>
  <c r="M20" i="43" s="1"/>
  <c r="AF16" i="3"/>
  <c r="AM16" i="3"/>
  <c r="O27" i="47"/>
  <c r="L31" i="34"/>
  <c r="M20" i="35" s="1"/>
  <c r="C31" i="34"/>
  <c r="U16" i="3"/>
  <c r="O27" i="35"/>
  <c r="L31" i="38"/>
  <c r="M20" i="39" s="1"/>
  <c r="AP16" i="3"/>
  <c r="AD16" i="3"/>
  <c r="O27" i="41"/>
  <c r="C31" i="40"/>
  <c r="W16" i="3"/>
  <c r="L31" i="50"/>
  <c r="M20" i="51" s="1"/>
  <c r="M27" i="51" s="1"/>
  <c r="C31" i="50"/>
  <c r="P30" i="29"/>
  <c r="P51" i="29"/>
  <c r="N51" i="29"/>
  <c r="N30" i="29"/>
  <c r="M30" i="29"/>
  <c r="N24" i="3" s="1"/>
  <c r="M51" i="29"/>
  <c r="N43" i="3" s="1"/>
  <c r="P30" i="25"/>
  <c r="P51" i="25"/>
  <c r="N30" i="25"/>
  <c r="N51" i="25"/>
  <c r="R51" i="29"/>
  <c r="R30" i="29"/>
  <c r="Q30" i="29"/>
  <c r="Q51" i="29"/>
  <c r="M30" i="25"/>
  <c r="L24" i="3" s="1"/>
  <c r="M51" i="25"/>
  <c r="L43" i="3" s="1"/>
  <c r="O30" i="25"/>
  <c r="O51" i="25"/>
  <c r="R30" i="25"/>
  <c r="R51" i="25"/>
  <c r="M20" i="31"/>
  <c r="O34" i="30"/>
  <c r="P20" i="31" s="1"/>
  <c r="P34" i="30"/>
  <c r="Q20" i="31" s="1"/>
  <c r="Q34" i="30"/>
  <c r="R20" i="31" s="1"/>
  <c r="M34" i="30"/>
  <c r="N20" i="31" s="1"/>
  <c r="N34" i="30"/>
  <c r="O20" i="31" s="1"/>
  <c r="L31" i="36"/>
  <c r="M20" i="37" s="1"/>
  <c r="Q30" i="25"/>
  <c r="Q51" i="25"/>
  <c r="O51" i="29"/>
  <c r="O30" i="29"/>
  <c r="M20" i="33"/>
  <c r="O34" i="32"/>
  <c r="P20" i="33" s="1"/>
  <c r="P34" i="32"/>
  <c r="Q20" i="33" s="1"/>
  <c r="Q34" i="32"/>
  <c r="R20" i="33" s="1"/>
  <c r="M34" i="32"/>
  <c r="N20" i="33" s="1"/>
  <c r="N34" i="32"/>
  <c r="O20" i="33" s="1"/>
  <c r="M41" i="15"/>
  <c r="M41" i="17"/>
  <c r="M40" i="47"/>
  <c r="M67" i="47" s="1"/>
  <c r="F34" i="3"/>
  <c r="Q34" i="3"/>
  <c r="O40" i="43"/>
  <c r="M40" i="39"/>
  <c r="N40" i="39"/>
  <c r="O40" i="37"/>
  <c r="O40" i="35"/>
  <c r="M40" i="35"/>
  <c r="O40" i="41"/>
  <c r="N40" i="43"/>
  <c r="O40" i="39"/>
  <c r="M40" i="37"/>
  <c r="N40" i="37"/>
  <c r="N40" i="35"/>
  <c r="T34" i="3" s="1"/>
  <c r="M40" i="41"/>
  <c r="N40" i="41"/>
  <c r="M40" i="43"/>
  <c r="L69" i="18"/>
  <c r="L67" i="18" s="1"/>
  <c r="M23" i="19" s="1"/>
  <c r="G20" i="3" s="1"/>
  <c r="M67" i="18"/>
  <c r="N23" i="19" s="1"/>
  <c r="M39" i="43"/>
  <c r="N39" i="43"/>
  <c r="O39" i="43"/>
  <c r="N40" i="47"/>
  <c r="N67" i="47" s="1"/>
  <c r="AK34" i="3"/>
  <c r="M41" i="33"/>
  <c r="M41" i="29"/>
  <c r="N34" i="3" s="1"/>
  <c r="M41" i="31"/>
  <c r="M45" i="31" s="1"/>
  <c r="AM34" i="3"/>
  <c r="O67" i="47"/>
  <c r="M39" i="49"/>
  <c r="O39" i="49"/>
  <c r="N39" i="49"/>
  <c r="M39" i="47"/>
  <c r="O39" i="47"/>
  <c r="N39" i="47"/>
  <c r="M39" i="39"/>
  <c r="Y33" i="3" s="1"/>
  <c r="N39" i="39"/>
  <c r="Z33" i="3" s="1"/>
  <c r="O39" i="39"/>
  <c r="AA33" i="3" s="1"/>
  <c r="P35" i="3"/>
  <c r="N42" i="33"/>
  <c r="O42" i="33"/>
  <c r="P42" i="33"/>
  <c r="R42" i="33"/>
  <c r="Q42" i="33"/>
  <c r="N24" i="14"/>
  <c r="M65" i="7"/>
  <c r="M78" i="26" s="1"/>
  <c r="N38" i="27" s="1"/>
  <c r="N40" i="27" s="1"/>
  <c r="M39" i="37"/>
  <c r="V33" i="3" s="1"/>
  <c r="O39" i="37"/>
  <c r="X33" i="3" s="1"/>
  <c r="N39" i="37"/>
  <c r="W33" i="3" s="1"/>
  <c r="O35" i="3"/>
  <c r="R42" i="31"/>
  <c r="O42" i="31"/>
  <c r="Q42" i="31"/>
  <c r="P42" i="31"/>
  <c r="N42" i="31"/>
  <c r="M24" i="14"/>
  <c r="D34" i="14"/>
  <c r="O40" i="51"/>
  <c r="M40" i="51"/>
  <c r="N40" i="51"/>
  <c r="M20" i="25"/>
  <c r="Q34" i="24"/>
  <c r="R20" i="25" s="1"/>
  <c r="R27" i="25" s="1"/>
  <c r="P34" i="24"/>
  <c r="Q20" i="25" s="1"/>
  <c r="Q27" i="25" s="1"/>
  <c r="N34" i="24"/>
  <c r="O20" i="25" s="1"/>
  <c r="O27" i="25" s="1"/>
  <c r="M34" i="24"/>
  <c r="N20" i="25" s="1"/>
  <c r="N27" i="25" s="1"/>
  <c r="O34" i="24"/>
  <c r="P20" i="25" s="1"/>
  <c r="P27" i="25" s="1"/>
  <c r="M20" i="21"/>
  <c r="H16" i="3" s="1"/>
  <c r="N34" i="20"/>
  <c r="O20" i="21" s="1"/>
  <c r="O27" i="21" s="1"/>
  <c r="O34" i="20"/>
  <c r="P20" i="21" s="1"/>
  <c r="P27" i="21" s="1"/>
  <c r="P34" i="20"/>
  <c r="Q20" i="21" s="1"/>
  <c r="Q34" i="20"/>
  <c r="R20" i="21" s="1"/>
  <c r="R27" i="21" s="1"/>
  <c r="M34" i="20"/>
  <c r="N20" i="21" s="1"/>
  <c r="N27" i="21" s="1"/>
  <c r="P34" i="18"/>
  <c r="Q20" i="19" s="1"/>
  <c r="Q27" i="19" s="1"/>
  <c r="Q34" i="18"/>
  <c r="R20" i="19" s="1"/>
  <c r="R27" i="19" s="1"/>
  <c r="M34" i="18"/>
  <c r="N20" i="19" s="1"/>
  <c r="N27" i="19" s="1"/>
  <c r="M20" i="19"/>
  <c r="N34" i="18"/>
  <c r="O20" i="19" s="1"/>
  <c r="O27" i="19" s="1"/>
  <c r="O34" i="18"/>
  <c r="P20" i="19" s="1"/>
  <c r="P27" i="19" s="1"/>
  <c r="P34" i="28"/>
  <c r="Q20" i="29" s="1"/>
  <c r="O34" i="28"/>
  <c r="P20" i="29" s="1"/>
  <c r="P27" i="29" s="1"/>
  <c r="Q34" i="28"/>
  <c r="R20" i="29" s="1"/>
  <c r="R27" i="29" s="1"/>
  <c r="N34" i="28"/>
  <c r="O20" i="29" s="1"/>
  <c r="O27" i="29" s="1"/>
  <c r="M20" i="29"/>
  <c r="N16" i="3" s="1"/>
  <c r="M34" i="28"/>
  <c r="N20" i="29" s="1"/>
  <c r="N27" i="29" s="1"/>
  <c r="M20" i="23"/>
  <c r="N34" i="22"/>
  <c r="O20" i="23" s="1"/>
  <c r="O27" i="23" s="1"/>
  <c r="O34" i="22"/>
  <c r="P20" i="23" s="1"/>
  <c r="P27" i="23" s="1"/>
  <c r="P34" i="22"/>
  <c r="Q20" i="23" s="1"/>
  <c r="Q27" i="23" s="1"/>
  <c r="Q34" i="22"/>
  <c r="R20" i="23" s="1"/>
  <c r="R27" i="23" s="1"/>
  <c r="M34" i="22"/>
  <c r="N20" i="23" s="1"/>
  <c r="N27" i="23" s="1"/>
  <c r="Q34" i="26"/>
  <c r="R20" i="27" s="1"/>
  <c r="R27" i="27" s="1"/>
  <c r="M34" i="26"/>
  <c r="N20" i="27" s="1"/>
  <c r="N27" i="27" s="1"/>
  <c r="N34" i="26"/>
  <c r="O20" i="27" s="1"/>
  <c r="O27" i="27" s="1"/>
  <c r="M20" i="27"/>
  <c r="O34" i="26"/>
  <c r="P20" i="27" s="1"/>
  <c r="P27" i="27" s="1"/>
  <c r="P34" i="26"/>
  <c r="Q20" i="27" s="1"/>
  <c r="Q27" i="27" s="1"/>
  <c r="Q34" i="16"/>
  <c r="R20" i="17" s="1"/>
  <c r="R27" i="17" s="1"/>
  <c r="M34" i="16"/>
  <c r="N20" i="17" s="1"/>
  <c r="N27" i="17" s="1"/>
  <c r="P34" i="16"/>
  <c r="Q20" i="17" s="1"/>
  <c r="Q27" i="17" s="1"/>
  <c r="O34" i="16"/>
  <c r="P20" i="17" s="1"/>
  <c r="P27" i="17" s="1"/>
  <c r="M20" i="17"/>
  <c r="N34" i="16"/>
  <c r="O20" i="17" s="1"/>
  <c r="O27" i="17" s="1"/>
  <c r="P24" i="24"/>
  <c r="N24" i="24"/>
  <c r="Q24" i="24"/>
  <c r="O24" i="24"/>
  <c r="M24" i="24"/>
  <c r="D34" i="24"/>
  <c r="O24" i="18"/>
  <c r="Q24" i="18"/>
  <c r="P24" i="18"/>
  <c r="D34" i="18"/>
  <c r="M24" i="18"/>
  <c r="N24" i="18"/>
  <c r="D34" i="20"/>
  <c r="Q24" i="20"/>
  <c r="P24" i="20"/>
  <c r="N24" i="20"/>
  <c r="O24" i="20"/>
  <c r="M24" i="20"/>
  <c r="D34" i="28"/>
  <c r="O24" i="28"/>
  <c r="N24" i="28"/>
  <c r="M24" i="28"/>
  <c r="Q24" i="28"/>
  <c r="P24" i="28"/>
  <c r="D34" i="22"/>
  <c r="P24" i="22"/>
  <c r="N24" i="22"/>
  <c r="M24" i="22"/>
  <c r="Q24" i="22"/>
  <c r="O24" i="22"/>
  <c r="D34" i="26"/>
  <c r="N24" i="26"/>
  <c r="P24" i="26"/>
  <c r="O24" i="26"/>
  <c r="M24" i="26"/>
  <c r="Q24" i="26"/>
  <c r="N24" i="16"/>
  <c r="P24" i="16"/>
  <c r="D34" i="16"/>
  <c r="O24" i="16"/>
  <c r="M24" i="16"/>
  <c r="Q24" i="16"/>
  <c r="M41" i="27"/>
  <c r="M34" i="3" s="1"/>
  <c r="M41" i="25"/>
  <c r="L34" i="3" s="1"/>
  <c r="M41" i="23"/>
  <c r="K34" i="3" s="1"/>
  <c r="M41" i="21"/>
  <c r="H34" i="3" s="1"/>
  <c r="M41" i="19"/>
  <c r="G34" i="3" s="1"/>
  <c r="N42" i="25"/>
  <c r="R42" i="25"/>
  <c r="P42" i="25"/>
  <c r="O42" i="25"/>
  <c r="Q42" i="25"/>
  <c r="P42" i="19"/>
  <c r="R42" i="19"/>
  <c r="Q42" i="19"/>
  <c r="O42" i="19"/>
  <c r="N42" i="19"/>
  <c r="N42" i="23"/>
  <c r="O42" i="23"/>
  <c r="P42" i="23"/>
  <c r="R42" i="23"/>
  <c r="Q42" i="23"/>
  <c r="P42" i="17"/>
  <c r="R42" i="17"/>
  <c r="N42" i="17"/>
  <c r="O42" i="17"/>
  <c r="Q42" i="17"/>
  <c r="O42" i="27"/>
  <c r="P42" i="27"/>
  <c r="Q42" i="27"/>
  <c r="N42" i="27"/>
  <c r="R42" i="27"/>
  <c r="P42" i="21"/>
  <c r="R42" i="21"/>
  <c r="Q42" i="21"/>
  <c r="O42" i="21"/>
  <c r="N42" i="21"/>
  <c r="N42" i="29"/>
  <c r="Q42" i="29"/>
  <c r="R42" i="29"/>
  <c r="O42" i="29"/>
  <c r="P42" i="29"/>
  <c r="N38" i="19"/>
  <c r="N40" i="19" s="1"/>
  <c r="M79" i="18"/>
  <c r="N38" i="21"/>
  <c r="N40" i="21" s="1"/>
  <c r="M79" i="20"/>
  <c r="O38" i="19"/>
  <c r="O40" i="19" s="1"/>
  <c r="N79" i="18"/>
  <c r="Q38" i="21"/>
  <c r="Q40" i="21" s="1"/>
  <c r="P79" i="20"/>
  <c r="N38" i="25"/>
  <c r="N40" i="25" s="1"/>
  <c r="M79" i="24"/>
  <c r="O38" i="27"/>
  <c r="O40" i="27" s="1"/>
  <c r="N79" i="26"/>
  <c r="O38" i="25"/>
  <c r="O40" i="25" s="1"/>
  <c r="N79" i="24"/>
  <c r="P38" i="19"/>
  <c r="P40" i="19" s="1"/>
  <c r="O79" i="18"/>
  <c r="P38" i="21"/>
  <c r="P40" i="21" s="1"/>
  <c r="O79" i="20"/>
  <c r="O38" i="21"/>
  <c r="O40" i="21" s="1"/>
  <c r="N79" i="20"/>
  <c r="N38" i="23"/>
  <c r="N40" i="23" s="1"/>
  <c r="M79" i="22"/>
  <c r="P38" i="25"/>
  <c r="P40" i="25" s="1"/>
  <c r="O79" i="24"/>
  <c r="K79" i="24" s="1"/>
  <c r="O38" i="23"/>
  <c r="O40" i="23" s="1"/>
  <c r="N79" i="22"/>
  <c r="P38" i="27"/>
  <c r="P40" i="27" s="1"/>
  <c r="O79" i="26"/>
  <c r="P78" i="26"/>
  <c r="Q24" i="14"/>
  <c r="O24" i="14"/>
  <c r="P24" i="14"/>
  <c r="O38" i="15"/>
  <c r="O40" i="15" s="1"/>
  <c r="N79" i="14"/>
  <c r="N38" i="15"/>
  <c r="N40" i="15" s="1"/>
  <c r="M79" i="14"/>
  <c r="P38" i="15"/>
  <c r="P40" i="15" s="1"/>
  <c r="O79" i="14"/>
  <c r="I33" i="3"/>
  <c r="J16" i="3"/>
  <c r="I19" i="3"/>
  <c r="AH24" i="3"/>
  <c r="AH13" i="3"/>
  <c r="AI24" i="3"/>
  <c r="AI13" i="3"/>
  <c r="L25" i="14"/>
  <c r="AJ24" i="3"/>
  <c r="AJ13" i="3"/>
  <c r="J34" i="3"/>
  <c r="I34" i="3"/>
  <c r="J33" i="3"/>
  <c r="L31" i="56"/>
  <c r="M20" i="57" s="1"/>
  <c r="L31" i="52"/>
  <c r="M20" i="53" s="1"/>
  <c r="N39" i="55"/>
  <c r="O39" i="53"/>
  <c r="M39" i="53"/>
  <c r="O39" i="55"/>
  <c r="O43" i="55" s="1"/>
  <c r="N39" i="53"/>
  <c r="M39" i="55"/>
  <c r="E35" i="3"/>
  <c r="O42" i="15"/>
  <c r="P42" i="15"/>
  <c r="Q42" i="15"/>
  <c r="N42" i="15"/>
  <c r="R42" i="15"/>
  <c r="M39" i="57"/>
  <c r="O39" i="57"/>
  <c r="N39" i="57"/>
  <c r="N40" i="45"/>
  <c r="AI34" i="3" s="1"/>
  <c r="M40" i="45"/>
  <c r="AH34" i="3" s="1"/>
  <c r="O40" i="45"/>
  <c r="AJ34" i="3" s="1"/>
  <c r="P42" i="54"/>
  <c r="O24" i="55" s="1"/>
  <c r="N42" i="54"/>
  <c r="N24" i="55" s="1"/>
  <c r="N27" i="55" s="1"/>
  <c r="L42" i="54"/>
  <c r="M24" i="55" s="1"/>
  <c r="M34" i="14"/>
  <c r="N20" i="15" s="1"/>
  <c r="N34" i="14"/>
  <c r="O20" i="15" s="1"/>
  <c r="P34" i="14"/>
  <c r="Q20" i="15" s="1"/>
  <c r="Q27" i="15" s="1"/>
  <c r="M20" i="15"/>
  <c r="Q16" i="3" s="1"/>
  <c r="O34" i="14"/>
  <c r="P20" i="15" s="1"/>
  <c r="Q34" i="14"/>
  <c r="R20" i="15" s="1"/>
  <c r="R27" i="15" s="1"/>
  <c r="L31" i="44"/>
  <c r="M20" i="45" s="1"/>
  <c r="AH16" i="3" s="1"/>
  <c r="L31" i="54"/>
  <c r="M20" i="55" s="1"/>
  <c r="N28" i="51" l="1"/>
  <c r="X16" i="3"/>
  <c r="L31" i="48"/>
  <c r="M20" i="49" s="1"/>
  <c r="M27" i="49" s="1"/>
  <c r="AO16" i="3"/>
  <c r="O28" i="51"/>
  <c r="O32" i="51" s="1"/>
  <c r="O27" i="43"/>
  <c r="O28" i="43" s="1"/>
  <c r="O27" i="33"/>
  <c r="R27" i="33"/>
  <c r="P27" i="33"/>
  <c r="O27" i="31"/>
  <c r="R27" i="31"/>
  <c r="P27" i="31"/>
  <c r="O28" i="37"/>
  <c r="X22" i="3"/>
  <c r="O31" i="37"/>
  <c r="N28" i="37"/>
  <c r="W22" i="3"/>
  <c r="N31" i="37"/>
  <c r="AN16" i="3"/>
  <c r="O28" i="41"/>
  <c r="AD22" i="3"/>
  <c r="O31" i="41"/>
  <c r="AP22" i="3"/>
  <c r="O28" i="49"/>
  <c r="O31" i="49"/>
  <c r="U22" i="3"/>
  <c r="O28" i="35"/>
  <c r="O31" i="35"/>
  <c r="O28" i="47"/>
  <c r="AM22" i="3"/>
  <c r="O31" i="47"/>
  <c r="AF22" i="3"/>
  <c r="N31" i="43"/>
  <c r="N28" i="43"/>
  <c r="AE16" i="3"/>
  <c r="M27" i="43"/>
  <c r="AO22" i="3"/>
  <c r="N28" i="49"/>
  <c r="N31" i="49"/>
  <c r="N28" i="41"/>
  <c r="AC22" i="3"/>
  <c r="N31" i="41"/>
  <c r="AA22" i="3"/>
  <c r="O28" i="39"/>
  <c r="O31" i="39"/>
  <c r="N28" i="39"/>
  <c r="Z22" i="3"/>
  <c r="N31" i="39"/>
  <c r="T22" i="3"/>
  <c r="N28" i="35"/>
  <c r="N31" i="35"/>
  <c r="AL22" i="3"/>
  <c r="N28" i="47"/>
  <c r="N31" i="47"/>
  <c r="N27" i="33"/>
  <c r="Q27" i="33"/>
  <c r="P16" i="3"/>
  <c r="M27" i="33"/>
  <c r="V16" i="3"/>
  <c r="M27" i="37"/>
  <c r="N32" i="51"/>
  <c r="N27" i="31"/>
  <c r="Q27" i="31"/>
  <c r="O16" i="3"/>
  <c r="M27" i="31"/>
  <c r="M28" i="51"/>
  <c r="M31" i="51"/>
  <c r="M65" i="51" s="1"/>
  <c r="M66" i="51" s="1"/>
  <c r="AB16" i="3"/>
  <c r="M27" i="41"/>
  <c r="Y16" i="3"/>
  <c r="M27" i="39"/>
  <c r="S16" i="3"/>
  <c r="M27" i="35"/>
  <c r="AK16" i="3"/>
  <c r="M27" i="47"/>
  <c r="AL34" i="3"/>
  <c r="AC34" i="3"/>
  <c r="N67" i="41"/>
  <c r="N44" i="41"/>
  <c r="AF34" i="3"/>
  <c r="N67" i="43"/>
  <c r="AE34" i="3"/>
  <c r="M67" i="43"/>
  <c r="AB34" i="3"/>
  <c r="M67" i="41"/>
  <c r="M44" i="41"/>
  <c r="AD34" i="3"/>
  <c r="O67" i="41"/>
  <c r="O44" i="41"/>
  <c r="AG34" i="3"/>
  <c r="O67" i="43"/>
  <c r="N44" i="43"/>
  <c r="AF33" i="3"/>
  <c r="O44" i="43"/>
  <c r="AG33" i="3"/>
  <c r="M44" i="43"/>
  <c r="AE33" i="3"/>
  <c r="O68" i="47"/>
  <c r="AM58" i="3"/>
  <c r="AL58" i="3"/>
  <c r="N68" i="47"/>
  <c r="O34" i="3"/>
  <c r="O41" i="31"/>
  <c r="O70" i="31" s="1"/>
  <c r="O71" i="31" s="1"/>
  <c r="N41" i="31"/>
  <c r="N70" i="31" s="1"/>
  <c r="N71" i="31" s="1"/>
  <c r="P41" i="31"/>
  <c r="P70" i="31" s="1"/>
  <c r="P71" i="31" s="1"/>
  <c r="Q41" i="31"/>
  <c r="Q70" i="31" s="1"/>
  <c r="Q71" i="31" s="1"/>
  <c r="R41" i="31"/>
  <c r="R70" i="31" s="1"/>
  <c r="R71" i="31" s="1"/>
  <c r="M70" i="31"/>
  <c r="AK58" i="3"/>
  <c r="M68" i="47"/>
  <c r="O38" i="3"/>
  <c r="AL33" i="3"/>
  <c r="N44" i="47"/>
  <c r="AK33" i="3"/>
  <c r="M44" i="47"/>
  <c r="AP33" i="3"/>
  <c r="O44" i="49"/>
  <c r="AM33" i="3"/>
  <c r="O44" i="47"/>
  <c r="AO33" i="3"/>
  <c r="N44" i="49"/>
  <c r="AN33" i="3"/>
  <c r="M44" i="49"/>
  <c r="M27" i="17"/>
  <c r="F22" i="3" s="1"/>
  <c r="F16" i="3"/>
  <c r="M27" i="23"/>
  <c r="K22" i="3" s="1"/>
  <c r="K16" i="3"/>
  <c r="M27" i="25"/>
  <c r="L22" i="3" s="1"/>
  <c r="L16" i="3"/>
  <c r="M27" i="27"/>
  <c r="M22" i="3" s="1"/>
  <c r="M16" i="3"/>
  <c r="M27" i="19"/>
  <c r="G22" i="3" s="1"/>
  <c r="G16" i="3"/>
  <c r="N67" i="51"/>
  <c r="N68" i="51" s="1"/>
  <c r="N44" i="51"/>
  <c r="N47" i="51" s="1"/>
  <c r="N67" i="35"/>
  <c r="T58" i="3" s="1"/>
  <c r="N44" i="35"/>
  <c r="T38" i="3" s="1"/>
  <c r="M67" i="51"/>
  <c r="M68" i="51" s="1"/>
  <c r="M44" i="51"/>
  <c r="M47" i="51" s="1"/>
  <c r="V34" i="3"/>
  <c r="M44" i="37"/>
  <c r="M67" i="37"/>
  <c r="S34" i="3"/>
  <c r="M67" i="35"/>
  <c r="M44" i="35"/>
  <c r="Y34" i="3"/>
  <c r="M44" i="39"/>
  <c r="M67" i="39"/>
  <c r="P34" i="3"/>
  <c r="N41" i="33"/>
  <c r="P41" i="33"/>
  <c r="R41" i="33"/>
  <c r="O41" i="33"/>
  <c r="Q41" i="33"/>
  <c r="M45" i="33"/>
  <c r="M70" i="33"/>
  <c r="W34" i="3"/>
  <c r="N67" i="37"/>
  <c r="N44" i="37"/>
  <c r="Z34" i="3"/>
  <c r="N67" i="39"/>
  <c r="N44" i="39"/>
  <c r="O67" i="51"/>
  <c r="O68" i="51" s="1"/>
  <c r="O44" i="51"/>
  <c r="O47" i="51" s="1"/>
  <c r="X34" i="3"/>
  <c r="O67" i="37"/>
  <c r="O44" i="37"/>
  <c r="U34" i="3"/>
  <c r="O67" i="35"/>
  <c r="O44" i="35"/>
  <c r="AA34" i="3"/>
  <c r="O67" i="39"/>
  <c r="O44" i="39"/>
  <c r="O28" i="17"/>
  <c r="O31" i="17"/>
  <c r="O68" i="17" s="1"/>
  <c r="O69" i="17" s="1"/>
  <c r="P28" i="17"/>
  <c r="P31" i="17"/>
  <c r="P68" i="17" s="1"/>
  <c r="P69" i="17" s="1"/>
  <c r="N28" i="17"/>
  <c r="N31" i="17"/>
  <c r="N68" i="17" s="1"/>
  <c r="N69" i="17" s="1"/>
  <c r="Q31" i="27"/>
  <c r="Q68" i="27" s="1"/>
  <c r="Q69" i="27" s="1"/>
  <c r="Q28" i="27"/>
  <c r="N31" i="27"/>
  <c r="N68" i="27" s="1"/>
  <c r="N69" i="27" s="1"/>
  <c r="N28" i="27"/>
  <c r="N31" i="23"/>
  <c r="N68" i="23" s="1"/>
  <c r="N69" i="23" s="1"/>
  <c r="N28" i="23"/>
  <c r="Q31" i="23"/>
  <c r="Q68" i="23" s="1"/>
  <c r="Q69" i="23" s="1"/>
  <c r="Q28" i="23"/>
  <c r="O31" i="23"/>
  <c r="O68" i="23" s="1"/>
  <c r="O69" i="23" s="1"/>
  <c r="O28" i="23"/>
  <c r="N28" i="29"/>
  <c r="N31" i="29"/>
  <c r="N68" i="29" s="1"/>
  <c r="N69" i="29" s="1"/>
  <c r="O28" i="29"/>
  <c r="O31" i="29"/>
  <c r="O68" i="29" s="1"/>
  <c r="O69" i="29" s="1"/>
  <c r="P31" i="29"/>
  <c r="P68" i="29" s="1"/>
  <c r="P69" i="29" s="1"/>
  <c r="P28" i="29"/>
  <c r="P28" i="19"/>
  <c r="P31" i="19"/>
  <c r="P68" i="19" s="1"/>
  <c r="P69" i="19" s="1"/>
  <c r="R28" i="19"/>
  <c r="R31" i="19"/>
  <c r="R68" i="19" s="1"/>
  <c r="R69" i="19" s="1"/>
  <c r="N31" i="21"/>
  <c r="N68" i="21" s="1"/>
  <c r="N69" i="21" s="1"/>
  <c r="N28" i="21"/>
  <c r="O31" i="21"/>
  <c r="O68" i="21" s="1"/>
  <c r="O69" i="21" s="1"/>
  <c r="O28" i="21"/>
  <c r="P31" i="25"/>
  <c r="P68" i="25" s="1"/>
  <c r="P69" i="25" s="1"/>
  <c r="P28" i="25"/>
  <c r="O31" i="25"/>
  <c r="O68" i="25" s="1"/>
  <c r="O69" i="25" s="1"/>
  <c r="O28" i="25"/>
  <c r="R31" i="25"/>
  <c r="R68" i="25" s="1"/>
  <c r="R69" i="25" s="1"/>
  <c r="R28" i="25"/>
  <c r="Q28" i="17"/>
  <c r="Q31" i="17"/>
  <c r="Q68" i="17" s="1"/>
  <c r="Q69" i="17" s="1"/>
  <c r="R31" i="17"/>
  <c r="R68" i="17" s="1"/>
  <c r="R69" i="17" s="1"/>
  <c r="R28" i="17"/>
  <c r="P31" i="27"/>
  <c r="P68" i="27" s="1"/>
  <c r="P69" i="27" s="1"/>
  <c r="P28" i="27"/>
  <c r="O31" i="27"/>
  <c r="O68" i="27" s="1"/>
  <c r="O69" i="27" s="1"/>
  <c r="O28" i="27"/>
  <c r="R28" i="27"/>
  <c r="R31" i="27"/>
  <c r="R68" i="27" s="1"/>
  <c r="R69" i="27" s="1"/>
  <c r="R31" i="23"/>
  <c r="R68" i="23" s="1"/>
  <c r="R69" i="23" s="1"/>
  <c r="R28" i="23"/>
  <c r="P31" i="23"/>
  <c r="P68" i="23" s="1"/>
  <c r="P69" i="23" s="1"/>
  <c r="P28" i="23"/>
  <c r="M31" i="23"/>
  <c r="R28" i="29"/>
  <c r="R31" i="29"/>
  <c r="R68" i="29" s="1"/>
  <c r="R69" i="29" s="1"/>
  <c r="O28" i="19"/>
  <c r="O31" i="19"/>
  <c r="O68" i="19" s="1"/>
  <c r="O69" i="19" s="1"/>
  <c r="N28" i="19"/>
  <c r="N31" i="19"/>
  <c r="N68" i="19" s="1"/>
  <c r="N69" i="19" s="1"/>
  <c r="Q28" i="19"/>
  <c r="Q31" i="19"/>
  <c r="Q68" i="19" s="1"/>
  <c r="Q69" i="19" s="1"/>
  <c r="R31" i="21"/>
  <c r="R68" i="21" s="1"/>
  <c r="R69" i="21" s="1"/>
  <c r="R28" i="21"/>
  <c r="P28" i="21"/>
  <c r="P31" i="21"/>
  <c r="P68" i="21" s="1"/>
  <c r="P69" i="21" s="1"/>
  <c r="N28" i="25"/>
  <c r="N31" i="25"/>
  <c r="N68" i="25" s="1"/>
  <c r="N69" i="25" s="1"/>
  <c r="Q28" i="25"/>
  <c r="Q31" i="25"/>
  <c r="Q68" i="25" s="1"/>
  <c r="Q69" i="25" s="1"/>
  <c r="P41" i="19"/>
  <c r="P70" i="19" s="1"/>
  <c r="P71" i="19" s="1"/>
  <c r="O41" i="19"/>
  <c r="O70" i="19" s="1"/>
  <c r="O71" i="19" s="1"/>
  <c r="R41" i="19"/>
  <c r="Q41" i="19"/>
  <c r="N41" i="19"/>
  <c r="N70" i="19" s="1"/>
  <c r="N71" i="19" s="1"/>
  <c r="M70" i="19"/>
  <c r="N41" i="23"/>
  <c r="N70" i="23" s="1"/>
  <c r="N71" i="23" s="1"/>
  <c r="R41" i="23"/>
  <c r="Q41" i="23"/>
  <c r="P41" i="23"/>
  <c r="O41" i="23"/>
  <c r="O70" i="23" s="1"/>
  <c r="O71" i="23" s="1"/>
  <c r="M70" i="23"/>
  <c r="Q41" i="27"/>
  <c r="Q70" i="27" s="1"/>
  <c r="Q71" i="27" s="1"/>
  <c r="P41" i="27"/>
  <c r="P70" i="27" s="1"/>
  <c r="P71" i="27" s="1"/>
  <c r="O41" i="27"/>
  <c r="O70" i="27" s="1"/>
  <c r="O71" i="27" s="1"/>
  <c r="R41" i="27"/>
  <c r="N41" i="27"/>
  <c r="N70" i="27" s="1"/>
  <c r="N71" i="27" s="1"/>
  <c r="M70" i="27"/>
  <c r="N41" i="17"/>
  <c r="Q41" i="17"/>
  <c r="P41" i="17"/>
  <c r="O41" i="17"/>
  <c r="R41" i="17"/>
  <c r="M70" i="17"/>
  <c r="M45" i="17"/>
  <c r="F38" i="3" s="1"/>
  <c r="P41" i="21"/>
  <c r="P70" i="21" s="1"/>
  <c r="P71" i="21" s="1"/>
  <c r="O41" i="21"/>
  <c r="O70" i="21" s="1"/>
  <c r="O71" i="21" s="1"/>
  <c r="R41" i="21"/>
  <c r="Q41" i="21"/>
  <c r="Q70" i="21" s="1"/>
  <c r="Q71" i="21" s="1"/>
  <c r="N41" i="21"/>
  <c r="N70" i="21" s="1"/>
  <c r="N71" i="21" s="1"/>
  <c r="M70" i="21"/>
  <c r="Q41" i="29"/>
  <c r="O41" i="29"/>
  <c r="N41" i="29"/>
  <c r="P41" i="29"/>
  <c r="R41" i="29"/>
  <c r="M45" i="29"/>
  <c r="N38" i="3" s="1"/>
  <c r="M70" i="29"/>
  <c r="N41" i="25"/>
  <c r="N70" i="25" s="1"/>
  <c r="N71" i="25" s="1"/>
  <c r="R41" i="25"/>
  <c r="P41" i="25"/>
  <c r="P70" i="25" s="1"/>
  <c r="P71" i="25" s="1"/>
  <c r="Q41" i="25"/>
  <c r="O41" i="25"/>
  <c r="O70" i="25" s="1"/>
  <c r="O71" i="25" s="1"/>
  <c r="M70" i="25"/>
  <c r="K79" i="22"/>
  <c r="K79" i="18"/>
  <c r="K79" i="20"/>
  <c r="M40" i="23"/>
  <c r="N45" i="23"/>
  <c r="M40" i="25"/>
  <c r="N45" i="25"/>
  <c r="M40" i="19"/>
  <c r="M40" i="21"/>
  <c r="Q38" i="27"/>
  <c r="Q40" i="27" s="1"/>
  <c r="P79" i="26"/>
  <c r="M79" i="26"/>
  <c r="M40" i="15"/>
  <c r="K79" i="14"/>
  <c r="U50" i="14"/>
  <c r="N57" i="14" s="1"/>
  <c r="N58" i="14" s="1"/>
  <c r="O36" i="15" s="1"/>
  <c r="O39" i="15" s="1"/>
  <c r="V50" i="14"/>
  <c r="O57" i="14" s="1"/>
  <c r="O58" i="14" s="1"/>
  <c r="P36" i="15" s="1"/>
  <c r="P39" i="15" s="1"/>
  <c r="K50" i="14"/>
  <c r="T50" i="14"/>
  <c r="M57" i="14" s="1"/>
  <c r="J49" i="56"/>
  <c r="J50" i="52"/>
  <c r="H50" i="52"/>
  <c r="H49" i="56"/>
  <c r="I50" i="52"/>
  <c r="I49" i="56"/>
  <c r="M27" i="55"/>
  <c r="M28" i="55" s="1"/>
  <c r="N25" i="14"/>
  <c r="W30" i="15" s="1"/>
  <c r="M25" i="14"/>
  <c r="V30" i="15" s="1"/>
  <c r="U30" i="15"/>
  <c r="O25" i="14"/>
  <c r="X30" i="15" s="1"/>
  <c r="Q24" i="3" s="1"/>
  <c r="P25" i="14"/>
  <c r="Y30" i="15" s="1"/>
  <c r="Q25" i="14"/>
  <c r="O66" i="55"/>
  <c r="O67" i="55" s="1"/>
  <c r="N28" i="55"/>
  <c r="N30" i="55"/>
  <c r="N64" i="55" s="1"/>
  <c r="N65" i="55" s="1"/>
  <c r="Q41" i="15"/>
  <c r="N41" i="15"/>
  <c r="O41" i="15"/>
  <c r="R41" i="15"/>
  <c r="P41" i="15"/>
  <c r="E34" i="3"/>
  <c r="M66" i="55"/>
  <c r="M67" i="55" s="1"/>
  <c r="M43" i="55"/>
  <c r="O27" i="55"/>
  <c r="N66" i="55"/>
  <c r="N67" i="55" s="1"/>
  <c r="N43" i="55"/>
  <c r="Q28" i="15"/>
  <c r="Q29" i="15" s="1"/>
  <c r="Q31" i="15"/>
  <c r="Q68" i="15" s="1"/>
  <c r="Q69" i="15" s="1"/>
  <c r="R28" i="15"/>
  <c r="R29" i="15" s="1"/>
  <c r="R31" i="15"/>
  <c r="R68" i="15" s="1"/>
  <c r="R69" i="15" s="1"/>
  <c r="E16" i="3"/>
  <c r="O31" i="43" l="1"/>
  <c r="O65" i="43" s="1"/>
  <c r="AG22" i="3"/>
  <c r="N48" i="23"/>
  <c r="N55" i="23" s="1"/>
  <c r="M32" i="51"/>
  <c r="M28" i="47"/>
  <c r="AK22" i="3"/>
  <c r="M31" i="47"/>
  <c r="M47" i="47" s="1"/>
  <c r="S22" i="3"/>
  <c r="M28" i="35"/>
  <c r="M31" i="35"/>
  <c r="M47" i="35" s="1"/>
  <c r="M28" i="39"/>
  <c r="Y22" i="3"/>
  <c r="M31" i="39"/>
  <c r="M47" i="39" s="1"/>
  <c r="M31" i="41"/>
  <c r="M47" i="41" s="1"/>
  <c r="AB22" i="3"/>
  <c r="M28" i="41"/>
  <c r="M28" i="31"/>
  <c r="O22" i="3"/>
  <c r="M31" i="31"/>
  <c r="P22" i="3"/>
  <c r="M28" i="33"/>
  <c r="M31" i="33"/>
  <c r="M48" i="33" s="1"/>
  <c r="AG23" i="3"/>
  <c r="O29" i="43"/>
  <c r="O32" i="43"/>
  <c r="N29" i="47"/>
  <c r="AL23" i="3"/>
  <c r="N32" i="47"/>
  <c r="T25" i="3"/>
  <c r="N65" i="35"/>
  <c r="O65" i="39"/>
  <c r="AA25" i="3"/>
  <c r="AO25" i="3"/>
  <c r="N65" i="49"/>
  <c r="N65" i="43"/>
  <c r="AF25" i="3"/>
  <c r="AM25" i="3"/>
  <c r="O65" i="47"/>
  <c r="AM23" i="3"/>
  <c r="O29" i="47"/>
  <c r="O32" i="47"/>
  <c r="O29" i="35"/>
  <c r="U23" i="3"/>
  <c r="O32" i="35"/>
  <c r="AP25" i="3"/>
  <c r="O65" i="49"/>
  <c r="M28" i="49"/>
  <c r="AN22" i="3"/>
  <c r="M31" i="49"/>
  <c r="M47" i="49" s="1"/>
  <c r="W25" i="3"/>
  <c r="N65" i="37"/>
  <c r="W23" i="3"/>
  <c r="N29" i="37"/>
  <c r="N32" i="37"/>
  <c r="Q28" i="31"/>
  <c r="Q31" i="31"/>
  <c r="Q68" i="31" s="1"/>
  <c r="Q69" i="31" s="1"/>
  <c r="N28" i="31"/>
  <c r="N31" i="31"/>
  <c r="N68" i="31" s="1"/>
  <c r="N69" i="31" s="1"/>
  <c r="M28" i="37"/>
  <c r="V22" i="3"/>
  <c r="M31" i="37"/>
  <c r="Q28" i="33"/>
  <c r="Q31" i="33"/>
  <c r="Q68" i="33" s="1"/>
  <c r="Q69" i="33" s="1"/>
  <c r="N28" i="33"/>
  <c r="N31" i="33"/>
  <c r="N68" i="33" s="1"/>
  <c r="N69" i="33" s="1"/>
  <c r="N65" i="47"/>
  <c r="AL25" i="3"/>
  <c r="N29" i="35"/>
  <c r="T23" i="3"/>
  <c r="N32" i="35"/>
  <c r="N65" i="39"/>
  <c r="Z25" i="3"/>
  <c r="Z23" i="3"/>
  <c r="N29" i="39"/>
  <c r="N32" i="39"/>
  <c r="AA23" i="3"/>
  <c r="O29" i="39"/>
  <c r="O32" i="39"/>
  <c r="AC25" i="3"/>
  <c r="N65" i="41"/>
  <c r="N29" i="41"/>
  <c r="AC23" i="3"/>
  <c r="N32" i="41"/>
  <c r="AO23" i="3"/>
  <c r="N29" i="49"/>
  <c r="N32" i="49"/>
  <c r="M31" i="43"/>
  <c r="M47" i="43" s="1"/>
  <c r="M28" i="43"/>
  <c r="AE22" i="3"/>
  <c r="AF23" i="3"/>
  <c r="N29" i="43"/>
  <c r="N32" i="43"/>
  <c r="O65" i="35"/>
  <c r="U25" i="3"/>
  <c r="O29" i="49"/>
  <c r="AP23" i="3"/>
  <c r="O32" i="49"/>
  <c r="AD25" i="3"/>
  <c r="O65" i="41"/>
  <c r="AD23" i="3"/>
  <c r="O29" i="41"/>
  <c r="O32" i="41"/>
  <c r="O65" i="37"/>
  <c r="X25" i="3"/>
  <c r="O29" i="37"/>
  <c r="X23" i="3"/>
  <c r="O32" i="37"/>
  <c r="P28" i="31"/>
  <c r="P31" i="31"/>
  <c r="P68" i="31" s="1"/>
  <c r="P69" i="31" s="1"/>
  <c r="R28" i="31"/>
  <c r="R31" i="31"/>
  <c r="R68" i="31" s="1"/>
  <c r="R69" i="31" s="1"/>
  <c r="O28" i="31"/>
  <c r="O31" i="31"/>
  <c r="O68" i="31" s="1"/>
  <c r="O69" i="31" s="1"/>
  <c r="P28" i="33"/>
  <c r="P31" i="33"/>
  <c r="P68" i="33" s="1"/>
  <c r="P69" i="33" s="1"/>
  <c r="R28" i="33"/>
  <c r="R31" i="33"/>
  <c r="R68" i="33" s="1"/>
  <c r="R69" i="33" s="1"/>
  <c r="O28" i="33"/>
  <c r="O31" i="33"/>
  <c r="O68" i="33" s="1"/>
  <c r="O69" i="33" s="1"/>
  <c r="M31" i="25"/>
  <c r="M68" i="25" s="1"/>
  <c r="M28" i="25"/>
  <c r="L23" i="3" s="1"/>
  <c r="M28" i="23"/>
  <c r="K23" i="3" s="1"/>
  <c r="Q45" i="31"/>
  <c r="R45" i="31"/>
  <c r="Q45" i="27"/>
  <c r="Q48" i="27" s="1"/>
  <c r="Q49" i="27" s="1"/>
  <c r="N45" i="31"/>
  <c r="N48" i="31" s="1"/>
  <c r="N49" i="31" s="1"/>
  <c r="N52" i="31" s="1"/>
  <c r="N53" i="31" s="1"/>
  <c r="O68" i="41"/>
  <c r="AD58" i="3"/>
  <c r="AB38" i="3"/>
  <c r="N68" i="41"/>
  <c r="AC58" i="3"/>
  <c r="O68" i="43"/>
  <c r="AG58" i="3"/>
  <c r="O47" i="41"/>
  <c r="AD38" i="3"/>
  <c r="AB58" i="3"/>
  <c r="M68" i="41"/>
  <c r="M68" i="43"/>
  <c r="AE58" i="3"/>
  <c r="N68" i="43"/>
  <c r="AF58" i="3"/>
  <c r="N47" i="41"/>
  <c r="AC38" i="3"/>
  <c r="AE38" i="3"/>
  <c r="AG38" i="3"/>
  <c r="AF38" i="3"/>
  <c r="N47" i="43"/>
  <c r="O45" i="31"/>
  <c r="M71" i="31"/>
  <c r="O58" i="3"/>
  <c r="P45" i="31"/>
  <c r="AN38" i="3"/>
  <c r="AO38" i="3"/>
  <c r="N47" i="49"/>
  <c r="AM38" i="3"/>
  <c r="O47" i="47"/>
  <c r="AP38" i="3"/>
  <c r="O47" i="49"/>
  <c r="AK38" i="3"/>
  <c r="AL38" i="3"/>
  <c r="N47" i="47"/>
  <c r="M28" i="27"/>
  <c r="M23" i="3" s="1"/>
  <c r="P32" i="29"/>
  <c r="Q32" i="23"/>
  <c r="M31" i="27"/>
  <c r="M68" i="27" s="1"/>
  <c r="M31" i="17"/>
  <c r="M68" i="17" s="1"/>
  <c r="M28" i="17"/>
  <c r="F23" i="3" s="1"/>
  <c r="M31" i="19"/>
  <c r="G25" i="3" s="1"/>
  <c r="M28" i="19"/>
  <c r="G23" i="3" s="1"/>
  <c r="E33" i="3"/>
  <c r="Q33" i="3"/>
  <c r="M45" i="21"/>
  <c r="H38" i="3" s="1"/>
  <c r="H33" i="3"/>
  <c r="M68" i="23"/>
  <c r="K25" i="3"/>
  <c r="M45" i="19"/>
  <c r="G38" i="3" s="1"/>
  <c r="G33" i="3"/>
  <c r="M45" i="25"/>
  <c r="L33" i="3"/>
  <c r="M45" i="23"/>
  <c r="M48" i="23" s="1"/>
  <c r="K33" i="3"/>
  <c r="P32" i="23"/>
  <c r="R32" i="23"/>
  <c r="R32" i="17"/>
  <c r="R32" i="25"/>
  <c r="M71" i="21"/>
  <c r="H58" i="3"/>
  <c r="AA58" i="3"/>
  <c r="O68" i="39"/>
  <c r="U38" i="3"/>
  <c r="O47" i="35"/>
  <c r="X58" i="3"/>
  <c r="O68" i="37"/>
  <c r="O48" i="51"/>
  <c r="O50" i="51" s="1"/>
  <c r="O52" i="51"/>
  <c r="Z38" i="3"/>
  <c r="N47" i="39"/>
  <c r="W58" i="3"/>
  <c r="N68" i="37"/>
  <c r="P58" i="3"/>
  <c r="M71" i="33"/>
  <c r="Q45" i="33"/>
  <c r="Q70" i="33"/>
  <c r="Q71" i="33" s="1"/>
  <c r="R70" i="33"/>
  <c r="R71" i="33" s="1"/>
  <c r="R45" i="33"/>
  <c r="N45" i="33"/>
  <c r="N70" i="33"/>
  <c r="N71" i="33" s="1"/>
  <c r="Y58" i="3"/>
  <c r="M68" i="39"/>
  <c r="S58" i="3"/>
  <c r="M68" i="35"/>
  <c r="V58" i="3"/>
  <c r="M68" i="37"/>
  <c r="N68" i="35"/>
  <c r="N52" i="51"/>
  <c r="N48" i="51"/>
  <c r="N50" i="51" s="1"/>
  <c r="M71" i="25"/>
  <c r="L58" i="3"/>
  <c r="M71" i="29"/>
  <c r="N58" i="3"/>
  <c r="M71" i="17"/>
  <c r="F58" i="3"/>
  <c r="M71" i="27"/>
  <c r="M58" i="3"/>
  <c r="M71" i="23"/>
  <c r="K58" i="3"/>
  <c r="M71" i="19"/>
  <c r="G58" i="3"/>
  <c r="AA38" i="3"/>
  <c r="O47" i="39"/>
  <c r="U58" i="3"/>
  <c r="O68" i="35"/>
  <c r="X38" i="3"/>
  <c r="O47" i="37"/>
  <c r="Z58" i="3"/>
  <c r="N68" i="39"/>
  <c r="W38" i="3"/>
  <c r="N47" i="37"/>
  <c r="P38" i="3"/>
  <c r="O70" i="33"/>
  <c r="O71" i="33" s="1"/>
  <c r="O45" i="33"/>
  <c r="P45" i="33"/>
  <c r="P70" i="33"/>
  <c r="P71" i="33" s="1"/>
  <c r="Y38" i="3"/>
  <c r="S38" i="3"/>
  <c r="V38" i="3"/>
  <c r="M47" i="37"/>
  <c r="M52" i="51"/>
  <c r="M48" i="51"/>
  <c r="M50" i="51" s="1"/>
  <c r="N47" i="35"/>
  <c r="T41" i="3" s="1"/>
  <c r="R32" i="21"/>
  <c r="O29" i="27"/>
  <c r="O32" i="27"/>
  <c r="P29" i="27"/>
  <c r="P32" i="27"/>
  <c r="O32" i="25"/>
  <c r="O29" i="25"/>
  <c r="P29" i="25"/>
  <c r="P32" i="25"/>
  <c r="O29" i="21"/>
  <c r="O32" i="21"/>
  <c r="N29" i="21"/>
  <c r="N32" i="21"/>
  <c r="O32" i="23"/>
  <c r="O29" i="23"/>
  <c r="N32" i="23"/>
  <c r="N29" i="23"/>
  <c r="N29" i="27"/>
  <c r="N32" i="27"/>
  <c r="Q29" i="27"/>
  <c r="Q32" i="27"/>
  <c r="N45" i="21"/>
  <c r="N48" i="21" s="1"/>
  <c r="N49" i="21" s="1"/>
  <c r="O45" i="19"/>
  <c r="O48" i="19" s="1"/>
  <c r="O49" i="19" s="1"/>
  <c r="N48" i="25"/>
  <c r="N55" i="25" s="1"/>
  <c r="Q32" i="25"/>
  <c r="N32" i="25"/>
  <c r="N29" i="25"/>
  <c r="P29" i="21"/>
  <c r="P32" i="21"/>
  <c r="Q32" i="19"/>
  <c r="N32" i="19"/>
  <c r="N29" i="19"/>
  <c r="O32" i="19"/>
  <c r="O29" i="19"/>
  <c r="R32" i="29"/>
  <c r="R32" i="27"/>
  <c r="Q29" i="17"/>
  <c r="Q32" i="17"/>
  <c r="M29" i="17"/>
  <c r="R32" i="19"/>
  <c r="M29" i="19"/>
  <c r="P32" i="19"/>
  <c r="P29" i="19"/>
  <c r="O29" i="29"/>
  <c r="O32" i="29"/>
  <c r="N32" i="29"/>
  <c r="N29" i="29"/>
  <c r="N29" i="17"/>
  <c r="N32" i="17"/>
  <c r="P29" i="17"/>
  <c r="P32" i="17"/>
  <c r="O29" i="17"/>
  <c r="O32" i="17"/>
  <c r="K79" i="26"/>
  <c r="Q70" i="25"/>
  <c r="Q71" i="25" s="1"/>
  <c r="Q45" i="25"/>
  <c r="Q48" i="25" s="1"/>
  <c r="R70" i="25"/>
  <c r="R71" i="25" s="1"/>
  <c r="R45" i="25"/>
  <c r="R48" i="25" s="1"/>
  <c r="R45" i="29"/>
  <c r="R48" i="29" s="1"/>
  <c r="R70" i="29"/>
  <c r="R71" i="29" s="1"/>
  <c r="N45" i="29"/>
  <c r="N48" i="29" s="1"/>
  <c r="N70" i="29"/>
  <c r="N71" i="29" s="1"/>
  <c r="Q45" i="29"/>
  <c r="Q70" i="29"/>
  <c r="Q71" i="29" s="1"/>
  <c r="R70" i="21"/>
  <c r="R71" i="21" s="1"/>
  <c r="R45" i="21"/>
  <c r="R48" i="21" s="1"/>
  <c r="O70" i="17"/>
  <c r="O71" i="17" s="1"/>
  <c r="O45" i="17"/>
  <c r="O48" i="17" s="1"/>
  <c r="Q70" i="17"/>
  <c r="Q71" i="17" s="1"/>
  <c r="Q45" i="17"/>
  <c r="Q48" i="17" s="1"/>
  <c r="R70" i="27"/>
  <c r="R71" i="27" s="1"/>
  <c r="R45" i="27"/>
  <c r="R48" i="27" s="1"/>
  <c r="P70" i="23"/>
  <c r="P71" i="23" s="1"/>
  <c r="P45" i="23"/>
  <c r="P48" i="23" s="1"/>
  <c r="R70" i="23"/>
  <c r="R71" i="23" s="1"/>
  <c r="R45" i="23"/>
  <c r="R48" i="23" s="1"/>
  <c r="Q70" i="19"/>
  <c r="Q71" i="19" s="1"/>
  <c r="Q45" i="19"/>
  <c r="Q48" i="19" s="1"/>
  <c r="N45" i="19"/>
  <c r="N48" i="19" s="1"/>
  <c r="O45" i="27"/>
  <c r="O48" i="27" s="1"/>
  <c r="P45" i="19"/>
  <c r="P48" i="19" s="1"/>
  <c r="O45" i="21"/>
  <c r="O48" i="21" s="1"/>
  <c r="O45" i="23"/>
  <c r="O48" i="23" s="1"/>
  <c r="P70" i="29"/>
  <c r="P71" i="29" s="1"/>
  <c r="P45" i="29"/>
  <c r="P48" i="29" s="1"/>
  <c r="O45" i="29"/>
  <c r="O48" i="29" s="1"/>
  <c r="O70" i="29"/>
  <c r="O71" i="29" s="1"/>
  <c r="R70" i="17"/>
  <c r="R71" i="17" s="1"/>
  <c r="R45" i="17"/>
  <c r="R48" i="17" s="1"/>
  <c r="P70" i="17"/>
  <c r="P71" i="17" s="1"/>
  <c r="P45" i="17"/>
  <c r="P48" i="17" s="1"/>
  <c r="N70" i="17"/>
  <c r="N71" i="17" s="1"/>
  <c r="N45" i="17"/>
  <c r="N48" i="17" s="1"/>
  <c r="Q70" i="23"/>
  <c r="Q71" i="23" s="1"/>
  <c r="Q45" i="23"/>
  <c r="Q48" i="23" s="1"/>
  <c r="R70" i="19"/>
  <c r="R71" i="19" s="1"/>
  <c r="R45" i="19"/>
  <c r="R48" i="19" s="1"/>
  <c r="Q45" i="21"/>
  <c r="O45" i="25"/>
  <c r="O48" i="25" s="1"/>
  <c r="P45" i="21"/>
  <c r="P48" i="21" s="1"/>
  <c r="P45" i="25"/>
  <c r="P48" i="25" s="1"/>
  <c r="P45" i="27"/>
  <c r="P48" i="27" s="1"/>
  <c r="M40" i="27"/>
  <c r="N45" i="27"/>
  <c r="N48" i="27" s="1"/>
  <c r="M58" i="14"/>
  <c r="K57" i="14"/>
  <c r="U49" i="56"/>
  <c r="X49" i="56"/>
  <c r="R49" i="56"/>
  <c r="X50" i="52"/>
  <c r="R50" i="52"/>
  <c r="U50" i="52"/>
  <c r="T50" i="52"/>
  <c r="L42" i="52" s="1"/>
  <c r="M24" i="53" s="1"/>
  <c r="M27" i="53" s="1"/>
  <c r="L50" i="52"/>
  <c r="Z50" i="52"/>
  <c r="P42" i="52" s="1"/>
  <c r="O24" i="53" s="1"/>
  <c r="N50" i="52"/>
  <c r="P50" i="52"/>
  <c r="W50" i="52"/>
  <c r="N42" i="52" s="1"/>
  <c r="N24" i="53" s="1"/>
  <c r="L50" i="14"/>
  <c r="AB50" i="14"/>
  <c r="O43" i="14" s="1"/>
  <c r="P24" i="15" s="1"/>
  <c r="P27" i="15" s="1"/>
  <c r="Z50" i="14"/>
  <c r="M43" i="14" s="1"/>
  <c r="AA50" i="14"/>
  <c r="N43" i="14" s="1"/>
  <c r="O24" i="15" s="1"/>
  <c r="O27" i="15" s="1"/>
  <c r="O31" i="15" s="1"/>
  <c r="O68" i="15" s="1"/>
  <c r="O69" i="15" s="1"/>
  <c r="T49" i="56"/>
  <c r="P49" i="56"/>
  <c r="L49" i="56"/>
  <c r="W49" i="56"/>
  <c r="Z49" i="56"/>
  <c r="N49" i="56"/>
  <c r="N46" i="55"/>
  <c r="N51" i="55" s="1"/>
  <c r="M30" i="55"/>
  <c r="M64" i="55" s="1"/>
  <c r="M65" i="55" s="1"/>
  <c r="Z30" i="15"/>
  <c r="P16" i="15"/>
  <c r="X32" i="15"/>
  <c r="P17" i="15" s="1"/>
  <c r="N16" i="15"/>
  <c r="V32" i="15"/>
  <c r="N17" i="15" s="1"/>
  <c r="N51" i="15" s="1"/>
  <c r="Q16" i="15"/>
  <c r="Y32" i="15"/>
  <c r="Q17" i="15" s="1"/>
  <c r="U32" i="15"/>
  <c r="M17" i="15" s="1"/>
  <c r="M16" i="15"/>
  <c r="W32" i="15"/>
  <c r="O17" i="15" s="1"/>
  <c r="O51" i="15" s="1"/>
  <c r="O16" i="15"/>
  <c r="N31" i="55"/>
  <c r="O28" i="55"/>
  <c r="O30" i="55"/>
  <c r="O64" i="55" s="1"/>
  <c r="O65" i="55" s="1"/>
  <c r="P45" i="15"/>
  <c r="O45" i="15"/>
  <c r="Q45" i="15"/>
  <c r="Q48" i="15" s="1"/>
  <c r="Q70" i="15"/>
  <c r="Q71" i="15" s="1"/>
  <c r="R45" i="15"/>
  <c r="R48" i="15" s="1"/>
  <c r="R70" i="15"/>
  <c r="R71" i="15" s="1"/>
  <c r="N32" i="55"/>
  <c r="N33" i="55"/>
  <c r="K49" i="14"/>
  <c r="N48" i="33" l="1"/>
  <c r="N49" i="33" s="1"/>
  <c r="Q48" i="33"/>
  <c r="Q55" i="33" s="1"/>
  <c r="M32" i="23"/>
  <c r="K26" i="3" s="1"/>
  <c r="AG25" i="3"/>
  <c r="N49" i="23"/>
  <c r="N50" i="23" s="1"/>
  <c r="O47" i="43"/>
  <c r="O48" i="43" s="1"/>
  <c r="M48" i="25"/>
  <c r="M49" i="25" s="1"/>
  <c r="L42" i="3" s="1"/>
  <c r="M29" i="23"/>
  <c r="L25" i="3"/>
  <c r="O48" i="33"/>
  <c r="O55" i="33" s="1"/>
  <c r="Q48" i="31"/>
  <c r="Q49" i="31" s="1"/>
  <c r="Q52" i="31" s="1"/>
  <c r="N50" i="31"/>
  <c r="M29" i="27"/>
  <c r="M32" i="25"/>
  <c r="L26" i="3" s="1"/>
  <c r="P48" i="33"/>
  <c r="P49" i="33" s="1"/>
  <c r="R48" i="33"/>
  <c r="R55" i="33" s="1"/>
  <c r="R63" i="33" s="1"/>
  <c r="P48" i="31"/>
  <c r="P55" i="31" s="1"/>
  <c r="N55" i="31"/>
  <c r="N57" i="31" s="1"/>
  <c r="Q32" i="31"/>
  <c r="M25" i="3"/>
  <c r="O48" i="31"/>
  <c r="O55" i="31" s="1"/>
  <c r="R48" i="31"/>
  <c r="R49" i="31" s="1"/>
  <c r="R52" i="31" s="1"/>
  <c r="O29" i="33"/>
  <c r="O32" i="33"/>
  <c r="R32" i="33"/>
  <c r="P29" i="33"/>
  <c r="P32" i="33"/>
  <c r="O29" i="31"/>
  <c r="O32" i="31"/>
  <c r="R32" i="31"/>
  <c r="P29" i="31"/>
  <c r="P32" i="31"/>
  <c r="AD26" i="3"/>
  <c r="O34" i="41"/>
  <c r="AD28" i="3" s="1"/>
  <c r="O33" i="41"/>
  <c r="AD27" i="3" s="1"/>
  <c r="AF26" i="3"/>
  <c r="N34" i="43"/>
  <c r="AF28" i="3" s="1"/>
  <c r="N33" i="43"/>
  <c r="AF27" i="3" s="1"/>
  <c r="AE23" i="3"/>
  <c r="M29" i="43"/>
  <c r="M32" i="43"/>
  <c r="N34" i="49"/>
  <c r="AO28" i="3" s="1"/>
  <c r="AO26" i="3"/>
  <c r="N33" i="49"/>
  <c r="AO27" i="3" s="1"/>
  <c r="N66" i="41"/>
  <c r="AC57" i="3"/>
  <c r="O33" i="39"/>
  <c r="AA27" i="3" s="1"/>
  <c r="AA26" i="3"/>
  <c r="O34" i="39"/>
  <c r="AA28" i="3" s="1"/>
  <c r="T26" i="3"/>
  <c r="N33" i="35"/>
  <c r="T27" i="3" s="1"/>
  <c r="N34" i="35"/>
  <c r="T28" i="3" s="1"/>
  <c r="AL57" i="3"/>
  <c r="N66" i="47"/>
  <c r="O66" i="43"/>
  <c r="AG57" i="3"/>
  <c r="N29" i="33"/>
  <c r="N32" i="33"/>
  <c r="Q29" i="33"/>
  <c r="Q32" i="33"/>
  <c r="W26" i="3"/>
  <c r="N34" i="37"/>
  <c r="W28" i="3" s="1"/>
  <c r="N33" i="37"/>
  <c r="W27" i="3" s="1"/>
  <c r="AP57" i="3"/>
  <c r="O66" i="49"/>
  <c r="O34" i="35"/>
  <c r="U28" i="3" s="1"/>
  <c r="U26" i="3"/>
  <c r="O33" i="35"/>
  <c r="U27" i="3" s="1"/>
  <c r="O66" i="47"/>
  <c r="AM57" i="3"/>
  <c r="N66" i="49"/>
  <c r="AO57" i="3"/>
  <c r="N66" i="35"/>
  <c r="T57" i="3"/>
  <c r="AL26" i="3"/>
  <c r="N33" i="47"/>
  <c r="AL27" i="3" s="1"/>
  <c r="N34" i="47"/>
  <c r="AL28" i="3" s="1"/>
  <c r="P25" i="3"/>
  <c r="M68" i="33"/>
  <c r="AB23" i="3"/>
  <c r="M32" i="41"/>
  <c r="M29" i="41"/>
  <c r="M65" i="41"/>
  <c r="AB25" i="3"/>
  <c r="M65" i="35"/>
  <c r="S25" i="3"/>
  <c r="X26" i="3"/>
  <c r="O33" i="37"/>
  <c r="X27" i="3" s="1"/>
  <c r="O34" i="37"/>
  <c r="X28" i="3" s="1"/>
  <c r="X57" i="3"/>
  <c r="O66" i="37"/>
  <c r="AD57" i="3"/>
  <c r="O66" i="41"/>
  <c r="AP26" i="3"/>
  <c r="O33" i="49"/>
  <c r="AP27" i="3" s="1"/>
  <c r="O34" i="49"/>
  <c r="AP28" i="3" s="1"/>
  <c r="U57" i="3"/>
  <c r="O66" i="35"/>
  <c r="M65" i="43"/>
  <c r="AE25" i="3"/>
  <c r="N33" i="41"/>
  <c r="AC27" i="3" s="1"/>
  <c r="AC26" i="3"/>
  <c r="N34" i="41"/>
  <c r="AC28" i="3" s="1"/>
  <c r="Z26" i="3"/>
  <c r="N33" i="39"/>
  <c r="Z27" i="3" s="1"/>
  <c r="N34" i="39"/>
  <c r="Z28" i="3" s="1"/>
  <c r="N66" i="39"/>
  <c r="Z57" i="3"/>
  <c r="M65" i="37"/>
  <c r="V25" i="3"/>
  <c r="V23" i="3"/>
  <c r="M29" i="37"/>
  <c r="M32" i="37"/>
  <c r="N29" i="31"/>
  <c r="N32" i="31"/>
  <c r="W57" i="3"/>
  <c r="N66" i="37"/>
  <c r="M65" i="49"/>
  <c r="AN25" i="3"/>
  <c r="AN23" i="3"/>
  <c r="M29" i="49"/>
  <c r="M32" i="49"/>
  <c r="O34" i="47"/>
  <c r="AM28" i="3" s="1"/>
  <c r="AM26" i="3"/>
  <c r="O33" i="47"/>
  <c r="AM27" i="3" s="1"/>
  <c r="N66" i="43"/>
  <c r="AF57" i="3"/>
  <c r="O66" i="39"/>
  <c r="AA57" i="3"/>
  <c r="O34" i="43"/>
  <c r="AG28" i="3" s="1"/>
  <c r="O33" i="43"/>
  <c r="AG27" i="3" s="1"/>
  <c r="AG26" i="3"/>
  <c r="P23" i="3"/>
  <c r="M29" i="33"/>
  <c r="M32" i="33"/>
  <c r="O25" i="3"/>
  <c r="M68" i="31"/>
  <c r="M48" i="31"/>
  <c r="O23" i="3"/>
  <c r="M29" i="31"/>
  <c r="M32" i="31"/>
  <c r="M65" i="39"/>
  <c r="Y25" i="3"/>
  <c r="Y23" i="3"/>
  <c r="M29" i="39"/>
  <c r="M32" i="39"/>
  <c r="S23" i="3"/>
  <c r="M29" i="35"/>
  <c r="M32" i="35"/>
  <c r="AK25" i="3"/>
  <c r="M65" i="47"/>
  <c r="AK23" i="3"/>
  <c r="M29" i="47"/>
  <c r="M32" i="47"/>
  <c r="Q55" i="27"/>
  <c r="Q59" i="27" s="1"/>
  <c r="Q60" i="27" s="1"/>
  <c r="M32" i="17"/>
  <c r="F26" i="3" s="1"/>
  <c r="M48" i="17"/>
  <c r="F41" i="3" s="1"/>
  <c r="M32" i="27"/>
  <c r="M26" i="3" s="1"/>
  <c r="M29" i="25"/>
  <c r="N49" i="25"/>
  <c r="N50" i="25" s="1"/>
  <c r="Q55" i="31"/>
  <c r="Q63" i="31" s="1"/>
  <c r="N55" i="21"/>
  <c r="N59" i="21" s="1"/>
  <c r="N60" i="21" s="1"/>
  <c r="N52" i="41"/>
  <c r="AC41" i="3"/>
  <c r="N48" i="41"/>
  <c r="AD41" i="3"/>
  <c r="O48" i="41"/>
  <c r="O52" i="41"/>
  <c r="M52" i="41"/>
  <c r="AB41" i="3"/>
  <c r="M48" i="41"/>
  <c r="M68" i="19"/>
  <c r="M69" i="19" s="1"/>
  <c r="AF41" i="3"/>
  <c r="N52" i="43"/>
  <c r="N48" i="43"/>
  <c r="AG41" i="3"/>
  <c r="M52" i="43"/>
  <c r="M48" i="43"/>
  <c r="AE41" i="3"/>
  <c r="L38" i="3"/>
  <c r="M48" i="19"/>
  <c r="M55" i="19" s="1"/>
  <c r="F25" i="3"/>
  <c r="N48" i="47"/>
  <c r="AL41" i="3"/>
  <c r="N52" i="47"/>
  <c r="AK41" i="3"/>
  <c r="M48" i="47"/>
  <c r="M52" i="47"/>
  <c r="AP41" i="3"/>
  <c r="O52" i="49"/>
  <c r="O48" i="49"/>
  <c r="AM41" i="3"/>
  <c r="O52" i="47"/>
  <c r="O48" i="47"/>
  <c r="N52" i="49"/>
  <c r="AO41" i="3"/>
  <c r="N48" i="49"/>
  <c r="M48" i="49"/>
  <c r="AN41" i="3"/>
  <c r="M52" i="49"/>
  <c r="O55" i="19"/>
  <c r="O62" i="19" s="1"/>
  <c r="K38" i="3"/>
  <c r="K41" i="3"/>
  <c r="M49" i="23"/>
  <c r="K42" i="3" s="1"/>
  <c r="M55" i="23"/>
  <c r="K45" i="3" s="1"/>
  <c r="M31" i="55"/>
  <c r="M32" i="19"/>
  <c r="G26" i="3" s="1"/>
  <c r="M45" i="27"/>
  <c r="M48" i="27" s="1"/>
  <c r="M41" i="3" s="1"/>
  <c r="M33" i="3"/>
  <c r="M69" i="17"/>
  <c r="F57" i="3"/>
  <c r="M69" i="27"/>
  <c r="M57" i="3"/>
  <c r="M69" i="23"/>
  <c r="K57" i="3"/>
  <c r="M69" i="25"/>
  <c r="L57" i="3"/>
  <c r="N52" i="35"/>
  <c r="T45" i="3" s="1"/>
  <c r="N48" i="35"/>
  <c r="T42" i="3" s="1"/>
  <c r="V41" i="3"/>
  <c r="M48" i="37"/>
  <c r="M52" i="37"/>
  <c r="S41" i="3"/>
  <c r="M48" i="35"/>
  <c r="M52" i="35"/>
  <c r="Y41" i="3"/>
  <c r="M52" i="39"/>
  <c r="M48" i="39"/>
  <c r="P41" i="3"/>
  <c r="M49" i="33"/>
  <c r="M55" i="33"/>
  <c r="W41" i="3"/>
  <c r="N52" i="37"/>
  <c r="N48" i="37"/>
  <c r="X41" i="3"/>
  <c r="O48" i="37"/>
  <c r="O52" i="37"/>
  <c r="AA41" i="3"/>
  <c r="O52" i="39"/>
  <c r="O48" i="39"/>
  <c r="Z41" i="3"/>
  <c r="N52" i="39"/>
  <c r="N48" i="39"/>
  <c r="O59" i="51"/>
  <c r="O54" i="51"/>
  <c r="O58" i="51"/>
  <c r="U41" i="3"/>
  <c r="O48" i="35"/>
  <c r="O52" i="35"/>
  <c r="M58" i="51"/>
  <c r="M59" i="51"/>
  <c r="M54" i="51"/>
  <c r="M55" i="25"/>
  <c r="M57" i="25" s="1"/>
  <c r="L47" i="3" s="1"/>
  <c r="N58" i="51"/>
  <c r="N59" i="51"/>
  <c r="N54" i="51"/>
  <c r="N55" i="33"/>
  <c r="N33" i="29"/>
  <c r="N34" i="29"/>
  <c r="P33" i="19"/>
  <c r="P34" i="19"/>
  <c r="Q34" i="17"/>
  <c r="Q33" i="17"/>
  <c r="N34" i="25"/>
  <c r="N33" i="25"/>
  <c r="Q33" i="27"/>
  <c r="Q34" i="27"/>
  <c r="N33" i="27"/>
  <c r="N34" i="27"/>
  <c r="N34" i="21"/>
  <c r="N33" i="21"/>
  <c r="O34" i="21"/>
  <c r="O33" i="21"/>
  <c r="P33" i="25"/>
  <c r="P34" i="25"/>
  <c r="P34" i="27"/>
  <c r="P33" i="27"/>
  <c r="O33" i="27"/>
  <c r="O34" i="27"/>
  <c r="M34" i="23"/>
  <c r="K28" i="3" s="1"/>
  <c r="M33" i="23"/>
  <c r="K27" i="3" s="1"/>
  <c r="O34" i="17"/>
  <c r="O33" i="17"/>
  <c r="P34" i="17"/>
  <c r="P33" i="17"/>
  <c r="N33" i="17"/>
  <c r="N34" i="17"/>
  <c r="O34" i="29"/>
  <c r="O33" i="29"/>
  <c r="O33" i="19"/>
  <c r="O34" i="19"/>
  <c r="N33" i="19"/>
  <c r="N34" i="19"/>
  <c r="P33" i="21"/>
  <c r="P34" i="21"/>
  <c r="N33" i="23"/>
  <c r="N34" i="23"/>
  <c r="O33" i="23"/>
  <c r="O34" i="23"/>
  <c r="O34" i="25"/>
  <c r="O33" i="25"/>
  <c r="P49" i="25"/>
  <c r="P55" i="25"/>
  <c r="O55" i="25"/>
  <c r="O49" i="25"/>
  <c r="R49" i="19"/>
  <c r="R52" i="19" s="1"/>
  <c r="R55" i="19"/>
  <c r="R63" i="19" s="1"/>
  <c r="Q55" i="23"/>
  <c r="Q63" i="23" s="1"/>
  <c r="Q49" i="23"/>
  <c r="Q52" i="23" s="1"/>
  <c r="N49" i="17"/>
  <c r="N55" i="17"/>
  <c r="P49" i="17"/>
  <c r="P55" i="17"/>
  <c r="R49" i="17"/>
  <c r="R52" i="17" s="1"/>
  <c r="R55" i="17"/>
  <c r="R63" i="17" s="1"/>
  <c r="P55" i="29"/>
  <c r="P63" i="29" s="1"/>
  <c r="P49" i="29"/>
  <c r="P52" i="29" s="1"/>
  <c r="O49" i="23"/>
  <c r="O55" i="23"/>
  <c r="P49" i="19"/>
  <c r="P55" i="19"/>
  <c r="N55" i="19"/>
  <c r="N49" i="19"/>
  <c r="N55" i="29"/>
  <c r="N49" i="29"/>
  <c r="R55" i="29"/>
  <c r="R63" i="29" s="1"/>
  <c r="R49" i="29"/>
  <c r="R52" i="29" s="1"/>
  <c r="P49" i="27"/>
  <c r="P55" i="27"/>
  <c r="P55" i="21"/>
  <c r="P49" i="21"/>
  <c r="O49" i="29"/>
  <c r="O55" i="29"/>
  <c r="O55" i="21"/>
  <c r="O49" i="21"/>
  <c r="O55" i="27"/>
  <c r="O49" i="27"/>
  <c r="Q49" i="19"/>
  <c r="Q52" i="19" s="1"/>
  <c r="Q55" i="19"/>
  <c r="Q63" i="19" s="1"/>
  <c r="R55" i="23"/>
  <c r="R63" i="23" s="1"/>
  <c r="R49" i="23"/>
  <c r="R52" i="23" s="1"/>
  <c r="P55" i="23"/>
  <c r="P63" i="23" s="1"/>
  <c r="P49" i="23"/>
  <c r="P52" i="23" s="1"/>
  <c r="P53" i="23" s="1"/>
  <c r="R49" i="27"/>
  <c r="R52" i="27" s="1"/>
  <c r="R55" i="27"/>
  <c r="R63" i="27" s="1"/>
  <c r="Q55" i="17"/>
  <c r="Q49" i="17"/>
  <c r="O55" i="17"/>
  <c r="O49" i="17"/>
  <c r="R55" i="21"/>
  <c r="R63" i="21" s="1"/>
  <c r="R49" i="21"/>
  <c r="R52" i="21" s="1"/>
  <c r="R49" i="25"/>
  <c r="R52" i="25" s="1"/>
  <c r="R55" i="25"/>
  <c r="R63" i="25" s="1"/>
  <c r="Q55" i="25"/>
  <c r="Q63" i="25" s="1"/>
  <c r="Q49" i="25"/>
  <c r="Q52" i="25" s="1"/>
  <c r="N57" i="23"/>
  <c r="N56" i="23"/>
  <c r="N62" i="23"/>
  <c r="N63" i="23"/>
  <c r="N59" i="23"/>
  <c r="N60" i="23" s="1"/>
  <c r="N61" i="23"/>
  <c r="N57" i="25"/>
  <c r="N59" i="25"/>
  <c r="N60" i="25" s="1"/>
  <c r="N62" i="25"/>
  <c r="N63" i="25"/>
  <c r="N61" i="25"/>
  <c r="N56" i="25"/>
  <c r="O52" i="19"/>
  <c r="O53" i="19" s="1"/>
  <c r="O50" i="19"/>
  <c r="M52" i="25"/>
  <c r="N52" i="23"/>
  <c r="N53" i="23" s="1"/>
  <c r="N50" i="21"/>
  <c r="N52" i="21"/>
  <c r="N53" i="21" s="1"/>
  <c r="N55" i="27"/>
  <c r="N49" i="27"/>
  <c r="Q52" i="27"/>
  <c r="Q53" i="27" s="1"/>
  <c r="Q50" i="27"/>
  <c r="P70" i="15"/>
  <c r="P71" i="15" s="1"/>
  <c r="O70" i="15"/>
  <c r="O71" i="15" s="1"/>
  <c r="N47" i="55"/>
  <c r="N49" i="55" s="1"/>
  <c r="O48" i="15"/>
  <c r="O55" i="15" s="1"/>
  <c r="O61" i="15" s="1"/>
  <c r="O28" i="15"/>
  <c r="O29" i="15" s="1"/>
  <c r="P31" i="15"/>
  <c r="P68" i="15" s="1"/>
  <c r="P69" i="15" s="1"/>
  <c r="P28" i="15"/>
  <c r="P29" i="15" s="1"/>
  <c r="N27" i="53"/>
  <c r="K56" i="52"/>
  <c r="K57" i="52"/>
  <c r="M35" i="53" s="1"/>
  <c r="M37" i="53" s="1"/>
  <c r="M43" i="53" s="1"/>
  <c r="L43" i="14"/>
  <c r="M24" i="15" s="1"/>
  <c r="Q18" i="3" s="1"/>
  <c r="N24" i="15"/>
  <c r="O27" i="53"/>
  <c r="M30" i="53"/>
  <c r="M28" i="53"/>
  <c r="M56" i="52"/>
  <c r="M57" i="52"/>
  <c r="N35" i="53" s="1"/>
  <c r="N37" i="53" s="1"/>
  <c r="N43" i="53" s="1"/>
  <c r="O56" i="52"/>
  <c r="O57" i="52"/>
  <c r="O35" i="53" s="1"/>
  <c r="O37" i="53" s="1"/>
  <c r="O43" i="53" s="1"/>
  <c r="N36" i="15"/>
  <c r="N39" i="15" s="1"/>
  <c r="N45" i="15" s="1"/>
  <c r="K58" i="14"/>
  <c r="M36" i="15" s="1"/>
  <c r="Q30" i="3" s="1"/>
  <c r="M46" i="55"/>
  <c r="Q51" i="15"/>
  <c r="Q30" i="15"/>
  <c r="Q32" i="15" s="1"/>
  <c r="N30" i="15"/>
  <c r="P30" i="15"/>
  <c r="P51" i="15"/>
  <c r="R16" i="15"/>
  <c r="Z32" i="15"/>
  <c r="R17" i="15" s="1"/>
  <c r="J24" i="3"/>
  <c r="J43" i="3"/>
  <c r="O30" i="15"/>
  <c r="M30" i="15"/>
  <c r="E24" i="3" s="1"/>
  <c r="M51" i="15"/>
  <c r="O46" i="55"/>
  <c r="O47" i="55" s="1"/>
  <c r="O49" i="55" s="1"/>
  <c r="O31" i="55"/>
  <c r="O32" i="55" s="1"/>
  <c r="O33" i="55"/>
  <c r="M33" i="55"/>
  <c r="M32" i="55"/>
  <c r="N58" i="55"/>
  <c r="N57" i="55"/>
  <c r="N54" i="55"/>
  <c r="N52" i="55"/>
  <c r="N56" i="55"/>
  <c r="N55" i="55"/>
  <c r="N53" i="55"/>
  <c r="Q55" i="15"/>
  <c r="Q49" i="15"/>
  <c r="R49" i="15"/>
  <c r="M54" i="55"/>
  <c r="M56" i="55"/>
  <c r="M53" i="55"/>
  <c r="M55" i="55"/>
  <c r="M52" i="55"/>
  <c r="L49" i="14"/>
  <c r="N52" i="25" l="1"/>
  <c r="N53" i="25" s="1"/>
  <c r="Q56" i="27"/>
  <c r="Q49" i="33"/>
  <c r="Q52" i="33" s="1"/>
  <c r="Q53" i="33" s="1"/>
  <c r="M33" i="17"/>
  <c r="F27" i="3" s="1"/>
  <c r="O49" i="33"/>
  <c r="O52" i="33" s="1"/>
  <c r="O53" i="33" s="1"/>
  <c r="M33" i="25"/>
  <c r="L27" i="3" s="1"/>
  <c r="R49" i="33"/>
  <c r="R52" i="33" s="1"/>
  <c r="O52" i="43"/>
  <c r="O59" i="43" s="1"/>
  <c r="M50" i="25"/>
  <c r="L41" i="3"/>
  <c r="M34" i="25"/>
  <c r="L28" i="3" s="1"/>
  <c r="M33" i="27"/>
  <c r="M27" i="3" s="1"/>
  <c r="N62" i="31"/>
  <c r="P49" i="31"/>
  <c r="P52" i="31" s="1"/>
  <c r="P53" i="31" s="1"/>
  <c r="Q62" i="27"/>
  <c r="M49" i="17"/>
  <c r="F42" i="3" s="1"/>
  <c r="M55" i="17"/>
  <c r="F54" i="3" s="1"/>
  <c r="Q63" i="27"/>
  <c r="Q64" i="27" s="1"/>
  <c r="P55" i="33"/>
  <c r="P61" i="33" s="1"/>
  <c r="O49" i="31"/>
  <c r="O52" i="31" s="1"/>
  <c r="O53" i="31" s="1"/>
  <c r="N56" i="21"/>
  <c r="N56" i="31"/>
  <c r="N61" i="31"/>
  <c r="R55" i="31"/>
  <c r="R63" i="31" s="1"/>
  <c r="N59" i="31"/>
  <c r="N60" i="31" s="1"/>
  <c r="N63" i="31"/>
  <c r="N65" i="31" s="1"/>
  <c r="G57" i="3"/>
  <c r="Q57" i="27"/>
  <c r="Q61" i="27"/>
  <c r="M56" i="25"/>
  <c r="L46" i="3" s="1"/>
  <c r="N62" i="21"/>
  <c r="N57" i="21"/>
  <c r="AK26" i="3"/>
  <c r="M33" i="47"/>
  <c r="AK27" i="3" s="1"/>
  <c r="M34" i="47"/>
  <c r="AK28" i="3" s="1"/>
  <c r="Y26" i="3"/>
  <c r="M34" i="39"/>
  <c r="Y28" i="3" s="1"/>
  <c r="M33" i="39"/>
  <c r="Y27" i="3" s="1"/>
  <c r="M66" i="39"/>
  <c r="Y57" i="3"/>
  <c r="M55" i="31"/>
  <c r="M49" i="31"/>
  <c r="O41" i="3"/>
  <c r="M33" i="49"/>
  <c r="AN27" i="3" s="1"/>
  <c r="AN26" i="3"/>
  <c r="M34" i="49"/>
  <c r="AN28" i="3" s="1"/>
  <c r="AN57" i="3"/>
  <c r="M66" i="49"/>
  <c r="Q34" i="33"/>
  <c r="Q33" i="33"/>
  <c r="N34" i="33"/>
  <c r="N33" i="33"/>
  <c r="P34" i="31"/>
  <c r="P33" i="31"/>
  <c r="O34" i="33"/>
  <c r="O33" i="33"/>
  <c r="AK57" i="3"/>
  <c r="M66" i="47"/>
  <c r="S26" i="3"/>
  <c r="M34" i="35"/>
  <c r="S28" i="3" s="1"/>
  <c r="M33" i="35"/>
  <c r="S27" i="3" s="1"/>
  <c r="M33" i="31"/>
  <c r="O27" i="3" s="1"/>
  <c r="O26" i="3"/>
  <c r="M34" i="31"/>
  <c r="O28" i="3" s="1"/>
  <c r="M69" i="31"/>
  <c r="O57" i="3"/>
  <c r="P26" i="3"/>
  <c r="M33" i="33"/>
  <c r="P27" i="3" s="1"/>
  <c r="M34" i="33"/>
  <c r="P28" i="3" s="1"/>
  <c r="N34" i="31"/>
  <c r="N33" i="31"/>
  <c r="V26" i="3"/>
  <c r="M34" i="37"/>
  <c r="V28" i="3" s="1"/>
  <c r="M33" i="37"/>
  <c r="V27" i="3" s="1"/>
  <c r="M66" i="37"/>
  <c r="V57" i="3"/>
  <c r="AE57" i="3"/>
  <c r="M66" i="43"/>
  <c r="S57" i="3"/>
  <c r="M66" i="35"/>
  <c r="AB57" i="3"/>
  <c r="M66" i="41"/>
  <c r="M33" i="41"/>
  <c r="AB27" i="3" s="1"/>
  <c r="AB26" i="3"/>
  <c r="M34" i="41"/>
  <c r="AB28" i="3" s="1"/>
  <c r="M69" i="33"/>
  <c r="P57" i="3"/>
  <c r="M33" i="43"/>
  <c r="AE27" i="3" s="1"/>
  <c r="AE26" i="3"/>
  <c r="M34" i="43"/>
  <c r="AE28" i="3" s="1"/>
  <c r="O34" i="31"/>
  <c r="O33" i="31"/>
  <c r="P34" i="33"/>
  <c r="P33" i="33"/>
  <c r="O59" i="19"/>
  <c r="O60" i="19" s="1"/>
  <c r="M34" i="27"/>
  <c r="M28" i="3" s="1"/>
  <c r="M34" i="17"/>
  <c r="F28" i="3" s="1"/>
  <c r="M61" i="25"/>
  <c r="L49" i="3" s="1"/>
  <c r="G12" i="4" s="1"/>
  <c r="M52" i="23"/>
  <c r="M53" i="23" s="1"/>
  <c r="N61" i="21"/>
  <c r="N63" i="21"/>
  <c r="N66" i="21" s="1"/>
  <c r="M50" i="23"/>
  <c r="M59" i="23"/>
  <c r="M60" i="23" s="1"/>
  <c r="M38" i="3"/>
  <c r="G54" i="3"/>
  <c r="M59" i="19"/>
  <c r="M60" i="19" s="1"/>
  <c r="G45" i="3"/>
  <c r="M57" i="19"/>
  <c r="G47" i="3" s="1"/>
  <c r="M62" i="19"/>
  <c r="G50" i="3" s="1"/>
  <c r="O61" i="19"/>
  <c r="O63" i="19"/>
  <c r="O65" i="19" s="1"/>
  <c r="K54" i="3"/>
  <c r="E43" i="3"/>
  <c r="Q43" i="3"/>
  <c r="AD45" i="3"/>
  <c r="O54" i="41"/>
  <c r="AD47" i="3" s="1"/>
  <c r="O58" i="41"/>
  <c r="O53" i="41"/>
  <c r="AD46" i="3" s="1"/>
  <c r="O59" i="41"/>
  <c r="O56" i="41"/>
  <c r="AD49" i="3" s="1"/>
  <c r="O57" i="41"/>
  <c r="AD50" i="3" s="1"/>
  <c r="M50" i="41"/>
  <c r="AB44" i="3" s="1"/>
  <c r="AB42" i="3"/>
  <c r="AB45" i="3"/>
  <c r="M56" i="41"/>
  <c r="AB49" i="3" s="1"/>
  <c r="M53" i="41"/>
  <c r="AB46" i="3" s="1"/>
  <c r="M54" i="41"/>
  <c r="AB47" i="3" s="1"/>
  <c r="M59" i="41"/>
  <c r="M57" i="41"/>
  <c r="AB50" i="3" s="1"/>
  <c r="M58" i="41"/>
  <c r="AD42" i="3"/>
  <c r="O50" i="41"/>
  <c r="AD44" i="3" s="1"/>
  <c r="AC42" i="3"/>
  <c r="N50" i="41"/>
  <c r="AC44" i="3" s="1"/>
  <c r="N58" i="41"/>
  <c r="N59" i="41"/>
  <c r="N56" i="41"/>
  <c r="AC49" i="3" s="1"/>
  <c r="O12" i="4" s="1"/>
  <c r="AC45" i="3"/>
  <c r="N54" i="41"/>
  <c r="AC47" i="3" s="1"/>
  <c r="N57" i="41"/>
  <c r="AC50" i="3" s="1"/>
  <c r="N53" i="41"/>
  <c r="AC46" i="3" s="1"/>
  <c r="M50" i="43"/>
  <c r="AE44" i="3" s="1"/>
  <c r="AE42" i="3"/>
  <c r="AG45" i="3"/>
  <c r="O57" i="43"/>
  <c r="AG50" i="3" s="1"/>
  <c r="AF45" i="3"/>
  <c r="N58" i="43"/>
  <c r="N54" i="43"/>
  <c r="AF47" i="3" s="1"/>
  <c r="N55" i="43"/>
  <c r="AF48" i="3" s="1"/>
  <c r="N59" i="43"/>
  <c r="N57" i="43"/>
  <c r="AF50" i="3" s="1"/>
  <c r="N56" i="43"/>
  <c r="AF49" i="3" s="1"/>
  <c r="P12" i="4" s="1"/>
  <c r="N53" i="43"/>
  <c r="AF46" i="3" s="1"/>
  <c r="M56" i="43"/>
  <c r="AE49" i="3" s="1"/>
  <c r="AE45" i="3"/>
  <c r="M59" i="43"/>
  <c r="M57" i="43"/>
  <c r="AE50" i="3" s="1"/>
  <c r="M53" i="43"/>
  <c r="AE46" i="3" s="1"/>
  <c r="M58" i="43"/>
  <c r="M54" i="43"/>
  <c r="AE47" i="3" s="1"/>
  <c r="M55" i="43"/>
  <c r="AE48" i="3" s="1"/>
  <c r="O50" i="43"/>
  <c r="AG44" i="3" s="1"/>
  <c r="AG42" i="3"/>
  <c r="N50" i="43"/>
  <c r="AF44" i="3" s="1"/>
  <c r="AF42" i="3"/>
  <c r="M56" i="23"/>
  <c r="K46" i="3" s="1"/>
  <c r="M57" i="23"/>
  <c r="K47" i="3" s="1"/>
  <c r="G41" i="3"/>
  <c r="M49" i="19"/>
  <c r="O57" i="19"/>
  <c r="O56" i="19"/>
  <c r="M61" i="23"/>
  <c r="K49" i="3" s="1"/>
  <c r="M63" i="23"/>
  <c r="K51" i="3" s="1"/>
  <c r="M62" i="23"/>
  <c r="K50" i="3" s="1"/>
  <c r="M33" i="19"/>
  <c r="G27" i="3" s="1"/>
  <c r="M55" i="27"/>
  <c r="M54" i="3" s="1"/>
  <c r="M34" i="19"/>
  <c r="G28" i="3" s="1"/>
  <c r="O50" i="31"/>
  <c r="O57" i="31"/>
  <c r="O61" i="31"/>
  <c r="O62" i="31"/>
  <c r="O63" i="31"/>
  <c r="O59" i="31"/>
  <c r="O60" i="31" s="1"/>
  <c r="O56" i="31"/>
  <c r="P61" i="31"/>
  <c r="P62" i="31"/>
  <c r="P57" i="31"/>
  <c r="P63" i="31"/>
  <c r="P59" i="31"/>
  <c r="P60" i="31" s="1"/>
  <c r="P56" i="31"/>
  <c r="AO42" i="3"/>
  <c r="N50" i="49"/>
  <c r="AO44" i="3" s="1"/>
  <c r="AO45" i="3"/>
  <c r="N54" i="49"/>
  <c r="AO47" i="3" s="1"/>
  <c r="N59" i="49"/>
  <c r="N53" i="49"/>
  <c r="AO46" i="3" s="1"/>
  <c r="N58" i="49"/>
  <c r="N55" i="49"/>
  <c r="AO48" i="3" s="1"/>
  <c r="N57" i="49"/>
  <c r="AO50" i="3" s="1"/>
  <c r="N56" i="49"/>
  <c r="AO49" i="3" s="1"/>
  <c r="S12" i="4" s="1"/>
  <c r="AM45" i="3"/>
  <c r="O57" i="47"/>
  <c r="AM50" i="3" s="1"/>
  <c r="O59" i="47"/>
  <c r="O56" i="47"/>
  <c r="AM49" i="3" s="1"/>
  <c r="O58" i="47"/>
  <c r="O55" i="47"/>
  <c r="AM48" i="3" s="1"/>
  <c r="O54" i="47"/>
  <c r="AM47" i="3" s="1"/>
  <c r="O53" i="47"/>
  <c r="AM46" i="3" s="1"/>
  <c r="AP45" i="3"/>
  <c r="O54" i="49"/>
  <c r="AP47" i="3" s="1"/>
  <c r="O56" i="49"/>
  <c r="AP49" i="3" s="1"/>
  <c r="O57" i="49"/>
  <c r="AP50" i="3" s="1"/>
  <c r="O59" i="49"/>
  <c r="O55" i="49"/>
  <c r="AP48" i="3" s="1"/>
  <c r="O58" i="49"/>
  <c r="O53" i="49"/>
  <c r="AP46" i="3" s="1"/>
  <c r="M58" i="47"/>
  <c r="M56" i="47"/>
  <c r="AK49" i="3" s="1"/>
  <c r="M54" i="47"/>
  <c r="AK47" i="3" s="1"/>
  <c r="M53" i="47"/>
  <c r="AK46" i="3" s="1"/>
  <c r="AK45" i="3"/>
  <c r="M57" i="47"/>
  <c r="AK50" i="3" s="1"/>
  <c r="M59" i="47"/>
  <c r="M55" i="47"/>
  <c r="AK48" i="3" s="1"/>
  <c r="M59" i="49"/>
  <c r="M55" i="49"/>
  <c r="AN48" i="3" s="1"/>
  <c r="M58" i="49"/>
  <c r="M53" i="49"/>
  <c r="AN46" i="3" s="1"/>
  <c r="AN45" i="3"/>
  <c r="M54" i="49"/>
  <c r="AN47" i="3" s="1"/>
  <c r="M56" i="49"/>
  <c r="AN49" i="3" s="1"/>
  <c r="M57" i="49"/>
  <c r="AN50" i="3" s="1"/>
  <c r="M50" i="49"/>
  <c r="AN44" i="3" s="1"/>
  <c r="AN42" i="3"/>
  <c r="O50" i="47"/>
  <c r="AM44" i="3" s="1"/>
  <c r="AM42" i="3"/>
  <c r="AP42" i="3"/>
  <c r="O50" i="49"/>
  <c r="AP44" i="3" s="1"/>
  <c r="M50" i="47"/>
  <c r="AK44" i="3" s="1"/>
  <c r="AK42" i="3"/>
  <c r="N59" i="47"/>
  <c r="N55" i="47"/>
  <c r="AL48" i="3" s="1"/>
  <c r="N58" i="47"/>
  <c r="N53" i="47"/>
  <c r="AL46" i="3" s="1"/>
  <c r="AL45" i="3"/>
  <c r="N57" i="47"/>
  <c r="AL50" i="3" s="1"/>
  <c r="N56" i="47"/>
  <c r="AL49" i="3" s="1"/>
  <c r="R12" i="4" s="1"/>
  <c r="N54" i="47"/>
  <c r="AL47" i="3" s="1"/>
  <c r="N50" i="47"/>
  <c r="AL44" i="3" s="1"/>
  <c r="AL42" i="3"/>
  <c r="M61" i="19"/>
  <c r="G49" i="3" s="1"/>
  <c r="M63" i="19"/>
  <c r="G51" i="3" s="1"/>
  <c r="M56" i="19"/>
  <c r="G46" i="3" s="1"/>
  <c r="M59" i="25"/>
  <c r="M60" i="25" s="1"/>
  <c r="M62" i="25"/>
  <c r="L50" i="3" s="1"/>
  <c r="M50" i="35"/>
  <c r="S44" i="3" s="1"/>
  <c r="S42" i="3"/>
  <c r="V45" i="3"/>
  <c r="M59" i="37"/>
  <c r="M56" i="37"/>
  <c r="V49" i="3" s="1"/>
  <c r="M58" i="37"/>
  <c r="M53" i="37"/>
  <c r="V46" i="3" s="1"/>
  <c r="M54" i="37"/>
  <c r="V47" i="3" s="1"/>
  <c r="M55" i="37"/>
  <c r="V48" i="3" s="1"/>
  <c r="M57" i="37"/>
  <c r="V50" i="3" s="1"/>
  <c r="N59" i="35"/>
  <c r="N57" i="35"/>
  <c r="T50" i="3" s="1"/>
  <c r="N56" i="35"/>
  <c r="T49" i="3" s="1"/>
  <c r="N53" i="35"/>
  <c r="T46" i="3" s="1"/>
  <c r="N58" i="35"/>
  <c r="N54" i="35"/>
  <c r="T47" i="3" s="1"/>
  <c r="Q50" i="33"/>
  <c r="N63" i="33"/>
  <c r="N61" i="33"/>
  <c r="N59" i="33"/>
  <c r="N60" i="33" s="1"/>
  <c r="N56" i="33"/>
  <c r="N57" i="33"/>
  <c r="N62" i="33"/>
  <c r="N60" i="51"/>
  <c r="N62" i="51"/>
  <c r="P52" i="33"/>
  <c r="P53" i="33" s="1"/>
  <c r="P50" i="33"/>
  <c r="O50" i="35"/>
  <c r="U44" i="3" s="1"/>
  <c r="U42" i="3"/>
  <c r="O60" i="51"/>
  <c r="O62" i="51"/>
  <c r="Z45" i="3"/>
  <c r="N59" i="39"/>
  <c r="N56" i="39"/>
  <c r="Z49" i="3" s="1"/>
  <c r="N54" i="39"/>
  <c r="Z47" i="3" s="1"/>
  <c r="N53" i="39"/>
  <c r="Z46" i="3" s="1"/>
  <c r="N58" i="39"/>
  <c r="N57" i="39"/>
  <c r="Z50" i="3" s="1"/>
  <c r="N55" i="39"/>
  <c r="Z48" i="3" s="1"/>
  <c r="O50" i="39"/>
  <c r="AA44" i="3" s="1"/>
  <c r="AA42" i="3"/>
  <c r="O50" i="37"/>
  <c r="X44" i="3" s="1"/>
  <c r="X42" i="3"/>
  <c r="N50" i="37"/>
  <c r="W44" i="3" s="1"/>
  <c r="W42" i="3"/>
  <c r="P42" i="3"/>
  <c r="M52" i="33"/>
  <c r="M50" i="33"/>
  <c r="O61" i="33"/>
  <c r="O57" i="33"/>
  <c r="O62" i="33"/>
  <c r="O63" i="33"/>
  <c r="O59" i="33"/>
  <c r="O60" i="33" s="1"/>
  <c r="O56" i="33"/>
  <c r="M50" i="39"/>
  <c r="Y44" i="3" s="1"/>
  <c r="Y42" i="3"/>
  <c r="M49" i="27"/>
  <c r="M42" i="3" s="1"/>
  <c r="M53" i="25"/>
  <c r="L44" i="3"/>
  <c r="Q56" i="33"/>
  <c r="Q63" i="33"/>
  <c r="Q57" i="33"/>
  <c r="Q61" i="33"/>
  <c r="Q62" i="33"/>
  <c r="Q59" i="33"/>
  <c r="Q60" i="33" s="1"/>
  <c r="N52" i="33"/>
  <c r="N53" i="33" s="1"/>
  <c r="N50" i="33"/>
  <c r="M63" i="25"/>
  <c r="L51" i="3" s="1"/>
  <c r="L54" i="3"/>
  <c r="L45" i="3"/>
  <c r="P57" i="33"/>
  <c r="M62" i="51"/>
  <c r="M60" i="51"/>
  <c r="U45" i="3"/>
  <c r="O58" i="35"/>
  <c r="O54" i="35"/>
  <c r="U47" i="3" s="1"/>
  <c r="O59" i="35"/>
  <c r="O56" i="35"/>
  <c r="U49" i="3" s="1"/>
  <c r="O57" i="35"/>
  <c r="U50" i="3" s="1"/>
  <c r="O53" i="35"/>
  <c r="U46" i="3" s="1"/>
  <c r="N50" i="39"/>
  <c r="Z44" i="3" s="1"/>
  <c r="Z42" i="3"/>
  <c r="AA45" i="3"/>
  <c r="O58" i="39"/>
  <c r="O54" i="39"/>
  <c r="AA47" i="3" s="1"/>
  <c r="O55" i="39"/>
  <c r="AA48" i="3" s="1"/>
  <c r="O59" i="39"/>
  <c r="O56" i="39"/>
  <c r="AA49" i="3" s="1"/>
  <c r="O57" i="39"/>
  <c r="AA50" i="3" s="1"/>
  <c r="O53" i="39"/>
  <c r="AA46" i="3" s="1"/>
  <c r="O55" i="37"/>
  <c r="X48" i="3" s="1"/>
  <c r="O53" i="37"/>
  <c r="X46" i="3" s="1"/>
  <c r="O59" i="37"/>
  <c r="O57" i="37"/>
  <c r="X50" i="3" s="1"/>
  <c r="O58" i="37"/>
  <c r="X45" i="3"/>
  <c r="O56" i="37"/>
  <c r="X49" i="3" s="1"/>
  <c r="O54" i="37"/>
  <c r="X47" i="3" s="1"/>
  <c r="W45" i="3"/>
  <c r="N57" i="37"/>
  <c r="W50" i="3" s="1"/>
  <c r="N59" i="37"/>
  <c r="N55" i="37"/>
  <c r="W48" i="3" s="1"/>
  <c r="N58" i="37"/>
  <c r="N56" i="37"/>
  <c r="W49" i="3" s="1"/>
  <c r="N54" i="37"/>
  <c r="W47" i="3" s="1"/>
  <c r="N53" i="37"/>
  <c r="W46" i="3" s="1"/>
  <c r="P45" i="3"/>
  <c r="M61" i="33"/>
  <c r="P49" i="3" s="1"/>
  <c r="P54" i="3"/>
  <c r="M57" i="33"/>
  <c r="P47" i="3" s="1"/>
  <c r="M62" i="33"/>
  <c r="P50" i="3" s="1"/>
  <c r="M63" i="33"/>
  <c r="M56" i="33"/>
  <c r="P46" i="3" s="1"/>
  <c r="M59" i="33"/>
  <c r="M60" i="33" s="1"/>
  <c r="O50" i="33"/>
  <c r="Y45" i="3"/>
  <c r="M59" i="39"/>
  <c r="M57" i="39"/>
  <c r="Y50" i="3" s="1"/>
  <c r="M56" i="39"/>
  <c r="Y49" i="3" s="1"/>
  <c r="M53" i="39"/>
  <c r="Y46" i="3" s="1"/>
  <c r="M58" i="39"/>
  <c r="M54" i="39"/>
  <c r="Y47" i="3" s="1"/>
  <c r="M55" i="39"/>
  <c r="Y48" i="3" s="1"/>
  <c r="S45" i="3"/>
  <c r="M59" i="35"/>
  <c r="M54" i="35"/>
  <c r="S47" i="3" s="1"/>
  <c r="M56" i="35"/>
  <c r="S49" i="3" s="1"/>
  <c r="M58" i="35"/>
  <c r="M57" i="35"/>
  <c r="S50" i="3" s="1"/>
  <c r="M53" i="35"/>
  <c r="S46" i="3" s="1"/>
  <c r="M50" i="37"/>
  <c r="V44" i="3" s="1"/>
  <c r="V42" i="3"/>
  <c r="N50" i="35"/>
  <c r="T44" i="3" s="1"/>
  <c r="O56" i="17"/>
  <c r="O57" i="17"/>
  <c r="O62" i="17"/>
  <c r="O63" i="17"/>
  <c r="O59" i="17"/>
  <c r="O60" i="17" s="1"/>
  <c r="O61" i="17"/>
  <c r="Q62" i="17"/>
  <c r="Q59" i="17"/>
  <c r="Q60" i="17" s="1"/>
  <c r="Q57" i="17"/>
  <c r="Q61" i="17"/>
  <c r="Q56" i="17"/>
  <c r="Q63" i="17"/>
  <c r="O59" i="27"/>
  <c r="O60" i="27" s="1"/>
  <c r="O61" i="27"/>
  <c r="O62" i="27"/>
  <c r="O63" i="27"/>
  <c r="O56" i="27"/>
  <c r="O57" i="27"/>
  <c r="O57" i="21"/>
  <c r="O63" i="21"/>
  <c r="O56" i="21"/>
  <c r="O61" i="21"/>
  <c r="O62" i="21"/>
  <c r="O59" i="21"/>
  <c r="O60" i="21" s="1"/>
  <c r="O52" i="29"/>
  <c r="O53" i="29" s="1"/>
  <c r="O50" i="29"/>
  <c r="P61" i="21"/>
  <c r="P59" i="21"/>
  <c r="P60" i="21" s="1"/>
  <c r="P57" i="21"/>
  <c r="P63" i="21"/>
  <c r="P62" i="21"/>
  <c r="P56" i="21"/>
  <c r="P50" i="27"/>
  <c r="P52" i="27"/>
  <c r="P53" i="27" s="1"/>
  <c r="N63" i="29"/>
  <c r="N59" i="29"/>
  <c r="N60" i="29" s="1"/>
  <c r="N61" i="29"/>
  <c r="N57" i="29"/>
  <c r="N62" i="29"/>
  <c r="N56" i="29"/>
  <c r="N63" i="19"/>
  <c r="N62" i="19"/>
  <c r="N61" i="19"/>
  <c r="N59" i="19"/>
  <c r="N60" i="19" s="1"/>
  <c r="N57" i="19"/>
  <c r="N56" i="19"/>
  <c r="P52" i="19"/>
  <c r="P53" i="19" s="1"/>
  <c r="P50" i="19"/>
  <c r="O52" i="23"/>
  <c r="O53" i="23" s="1"/>
  <c r="O50" i="23"/>
  <c r="P50" i="17"/>
  <c r="P52" i="17"/>
  <c r="P53" i="17" s="1"/>
  <c r="N50" i="17"/>
  <c r="N52" i="17"/>
  <c r="N53" i="17" s="1"/>
  <c r="O61" i="25"/>
  <c r="O63" i="25"/>
  <c r="O59" i="25"/>
  <c r="O60" i="25" s="1"/>
  <c r="O56" i="25"/>
  <c r="O57" i="25"/>
  <c r="O62" i="25"/>
  <c r="P52" i="25"/>
  <c r="P53" i="25" s="1"/>
  <c r="P50" i="25"/>
  <c r="O50" i="17"/>
  <c r="O52" i="17"/>
  <c r="O53" i="17" s="1"/>
  <c r="Q50" i="17"/>
  <c r="Q52" i="17"/>
  <c r="Q53" i="17" s="1"/>
  <c r="O50" i="27"/>
  <c r="O52" i="27"/>
  <c r="O53" i="27" s="1"/>
  <c r="O52" i="21"/>
  <c r="O53" i="21" s="1"/>
  <c r="O50" i="21"/>
  <c r="O63" i="29"/>
  <c r="O62" i="29"/>
  <c r="O59" i="29"/>
  <c r="O60" i="29" s="1"/>
  <c r="O56" i="29"/>
  <c r="O61" i="29"/>
  <c r="O57" i="29"/>
  <c r="P50" i="21"/>
  <c r="P52" i="21"/>
  <c r="P53" i="21" s="1"/>
  <c r="P61" i="27"/>
  <c r="P59" i="27"/>
  <c r="P60" i="27" s="1"/>
  <c r="P56" i="27"/>
  <c r="P63" i="27"/>
  <c r="P62" i="27"/>
  <c r="P57" i="27"/>
  <c r="N52" i="29"/>
  <c r="N53" i="29" s="1"/>
  <c r="N50" i="29"/>
  <c r="N50" i="19"/>
  <c r="N52" i="19"/>
  <c r="N53" i="19" s="1"/>
  <c r="P59" i="19"/>
  <c r="P60" i="19" s="1"/>
  <c r="P63" i="19"/>
  <c r="P56" i="19"/>
  <c r="P57" i="19"/>
  <c r="P61" i="19"/>
  <c r="P62" i="19"/>
  <c r="O59" i="23"/>
  <c r="O60" i="23" s="1"/>
  <c r="O63" i="23"/>
  <c r="O57" i="23"/>
  <c r="O62" i="23"/>
  <c r="O56" i="23"/>
  <c r="O61" i="23"/>
  <c r="P62" i="17"/>
  <c r="P56" i="17"/>
  <c r="P57" i="17"/>
  <c r="P63" i="17"/>
  <c r="P61" i="17"/>
  <c r="P59" i="17"/>
  <c r="P60" i="17" s="1"/>
  <c r="N61" i="17"/>
  <c r="N63" i="17"/>
  <c r="N62" i="17"/>
  <c r="N57" i="17"/>
  <c r="N56" i="17"/>
  <c r="N59" i="17"/>
  <c r="N60" i="17" s="1"/>
  <c r="O52" i="25"/>
  <c r="O53" i="25" s="1"/>
  <c r="O50" i="25"/>
  <c r="P59" i="25"/>
  <c r="P60" i="25" s="1"/>
  <c r="P62" i="25"/>
  <c r="P57" i="25"/>
  <c r="P61" i="25"/>
  <c r="P56" i="25"/>
  <c r="P63" i="25"/>
  <c r="N64" i="25"/>
  <c r="N66" i="25"/>
  <c r="N65" i="25"/>
  <c r="N65" i="23"/>
  <c r="N64" i="23"/>
  <c r="N66" i="23"/>
  <c r="N52" i="27"/>
  <c r="N53" i="27" s="1"/>
  <c r="N50" i="27"/>
  <c r="N63" i="27"/>
  <c r="N62" i="27"/>
  <c r="N56" i="27"/>
  <c r="N57" i="27"/>
  <c r="N61" i="27"/>
  <c r="N59" i="27"/>
  <c r="N60" i="27" s="1"/>
  <c r="Q65" i="27"/>
  <c r="O49" i="15"/>
  <c r="O52" i="15" s="1"/>
  <c r="O53" i="15" s="1"/>
  <c r="Q63" i="15"/>
  <c r="Q64" i="15" s="1"/>
  <c r="Q56" i="15"/>
  <c r="Q57" i="15"/>
  <c r="O32" i="15"/>
  <c r="O34" i="15" s="1"/>
  <c r="P32" i="15"/>
  <c r="P33" i="15" s="1"/>
  <c r="P48" i="15"/>
  <c r="P49" i="15" s="1"/>
  <c r="P50" i="15" s="1"/>
  <c r="M31" i="53"/>
  <c r="M46" i="53"/>
  <c r="M64" i="53"/>
  <c r="M65" i="53" s="1"/>
  <c r="O28" i="53"/>
  <c r="O30" i="53"/>
  <c r="O64" i="53" s="1"/>
  <c r="O65" i="53" s="1"/>
  <c r="M27" i="15"/>
  <c r="E18" i="3"/>
  <c r="M66" i="53"/>
  <c r="M67" i="53" s="1"/>
  <c r="M39" i="15"/>
  <c r="Q32" i="3" s="1"/>
  <c r="E30" i="3"/>
  <c r="O66" i="53"/>
  <c r="O67" i="53" s="1"/>
  <c r="N70" i="15"/>
  <c r="N71" i="15" s="1"/>
  <c r="N27" i="15"/>
  <c r="N66" i="53"/>
  <c r="N67" i="53" s="1"/>
  <c r="N30" i="53"/>
  <c r="N64" i="53" s="1"/>
  <c r="N65" i="53" s="1"/>
  <c r="N28" i="53"/>
  <c r="M51" i="55"/>
  <c r="M47" i="55"/>
  <c r="M49" i="55" s="1"/>
  <c r="O51" i="55"/>
  <c r="O58" i="55" s="1"/>
  <c r="I24" i="3"/>
  <c r="Q52" i="15"/>
  <c r="I43" i="3"/>
  <c r="R30" i="15"/>
  <c r="R32" i="15" s="1"/>
  <c r="R51" i="15"/>
  <c r="R55" i="15" s="1"/>
  <c r="N61" i="55"/>
  <c r="N62" i="55"/>
  <c r="N59" i="55"/>
  <c r="N60" i="55"/>
  <c r="O56" i="55"/>
  <c r="O54" i="55"/>
  <c r="O53" i="55"/>
  <c r="O52" i="55"/>
  <c r="O55" i="55"/>
  <c r="M60" i="55"/>
  <c r="M62" i="55"/>
  <c r="O50" i="15"/>
  <c r="O59" i="15"/>
  <c r="O60" i="15" s="1"/>
  <c r="O57" i="15"/>
  <c r="O56" i="15"/>
  <c r="O63" i="15"/>
  <c r="O62" i="15"/>
  <c r="P55" i="44"/>
  <c r="L55" i="44"/>
  <c r="N55" i="44"/>
  <c r="O53" i="43" l="1"/>
  <c r="AG46" i="3" s="1"/>
  <c r="O54" i="43"/>
  <c r="AG47" i="3" s="1"/>
  <c r="O55" i="43"/>
  <c r="AG48" i="3" s="1"/>
  <c r="O58" i="43"/>
  <c r="O56" i="43"/>
  <c r="AG49" i="3" s="1"/>
  <c r="P50" i="31"/>
  <c r="P56" i="33"/>
  <c r="P59" i="33"/>
  <c r="P60" i="33" s="1"/>
  <c r="M63" i="17"/>
  <c r="F51" i="3" s="1"/>
  <c r="M62" i="17"/>
  <c r="F50" i="3" s="1"/>
  <c r="Q66" i="27"/>
  <c r="M52" i="17"/>
  <c r="M50" i="17"/>
  <c r="P62" i="33"/>
  <c r="P63" i="33"/>
  <c r="P66" i="33" s="1"/>
  <c r="F45" i="3"/>
  <c r="M57" i="17"/>
  <c r="F47" i="3" s="1"/>
  <c r="M59" i="17"/>
  <c r="M60" i="17" s="1"/>
  <c r="M61" i="17"/>
  <c r="F49" i="3" s="1"/>
  <c r="M56" i="17"/>
  <c r="F46" i="3" s="1"/>
  <c r="M64" i="23"/>
  <c r="N64" i="31"/>
  <c r="N66" i="31"/>
  <c r="O66" i="19"/>
  <c r="O42" i="3"/>
  <c r="M52" i="31"/>
  <c r="M50" i="31"/>
  <c r="M63" i="31"/>
  <c r="M56" i="31"/>
  <c r="O46" i="3" s="1"/>
  <c r="M59" i="31"/>
  <c r="M60" i="31" s="1"/>
  <c r="M62" i="31"/>
  <c r="O50" i="3" s="1"/>
  <c r="O54" i="3"/>
  <c r="M61" i="31"/>
  <c r="O49" i="3" s="1"/>
  <c r="J12" i="4" s="1"/>
  <c r="O45" i="3"/>
  <c r="M57" i="31"/>
  <c r="O47" i="3" s="1"/>
  <c r="Q22" i="3"/>
  <c r="M31" i="15"/>
  <c r="Q25" i="3" s="1"/>
  <c r="N64" i="21"/>
  <c r="K44" i="3"/>
  <c r="O64" i="19"/>
  <c r="N65" i="21"/>
  <c r="M59" i="27"/>
  <c r="M60" i="27" s="1"/>
  <c r="M65" i="17"/>
  <c r="F55" i="3" s="1"/>
  <c r="M61" i="27"/>
  <c r="M49" i="3" s="1"/>
  <c r="M63" i="27"/>
  <c r="M51" i="3" s="1"/>
  <c r="M65" i="25"/>
  <c r="L55" i="3" s="1"/>
  <c r="M45" i="3"/>
  <c r="AC54" i="3"/>
  <c r="N61" i="41"/>
  <c r="N60" i="41"/>
  <c r="N62" i="41"/>
  <c r="AC51" i="3"/>
  <c r="N63" i="41"/>
  <c r="AB51" i="3"/>
  <c r="M63" i="41"/>
  <c r="M60" i="41"/>
  <c r="M62" i="41"/>
  <c r="AB54" i="3"/>
  <c r="M61" i="41"/>
  <c r="AD54" i="3"/>
  <c r="O63" i="41"/>
  <c r="O60" i="41"/>
  <c r="O62" i="41"/>
  <c r="AD51" i="3"/>
  <c r="O61" i="41"/>
  <c r="M52" i="27"/>
  <c r="M44" i="3" s="1"/>
  <c r="AG51" i="3"/>
  <c r="O60" i="43"/>
  <c r="O61" i="43"/>
  <c r="AG54" i="3"/>
  <c r="O62" i="43"/>
  <c r="O63" i="43"/>
  <c r="AE54" i="3"/>
  <c r="M60" i="43"/>
  <c r="M61" i="43"/>
  <c r="AE51" i="3"/>
  <c r="M62" i="43"/>
  <c r="M63" i="43"/>
  <c r="AF51" i="3"/>
  <c r="N60" i="43"/>
  <c r="N63" i="43"/>
  <c r="AF54" i="3"/>
  <c r="N62" i="43"/>
  <c r="N61" i="43"/>
  <c r="G42" i="3"/>
  <c r="M52" i="19"/>
  <c r="M50" i="19"/>
  <c r="M56" i="27"/>
  <c r="M46" i="3" s="1"/>
  <c r="M57" i="27"/>
  <c r="M47" i="3" s="1"/>
  <c r="M62" i="27"/>
  <c r="M50" i="3" s="1"/>
  <c r="M64" i="17"/>
  <c r="M66" i="23"/>
  <c r="K53" i="3" s="1"/>
  <c r="M65" i="23"/>
  <c r="K55" i="3" s="1"/>
  <c r="M66" i="25"/>
  <c r="L56" i="3" s="1"/>
  <c r="M65" i="19"/>
  <c r="G52" i="3" s="1"/>
  <c r="M64" i="25"/>
  <c r="M66" i="19"/>
  <c r="G56" i="3" s="1"/>
  <c r="M64" i="19"/>
  <c r="P66" i="31"/>
  <c r="P64" i="31"/>
  <c r="P65" i="31"/>
  <c r="O64" i="31"/>
  <c r="O65" i="31"/>
  <c r="O66" i="31"/>
  <c r="AL54" i="3"/>
  <c r="N61" i="47"/>
  <c r="N63" i="47"/>
  <c r="AL51" i="3"/>
  <c r="N60" i="47"/>
  <c r="N62" i="47"/>
  <c r="M60" i="49"/>
  <c r="AN54" i="3"/>
  <c r="M63" i="49"/>
  <c r="AN51" i="3"/>
  <c r="M61" i="49"/>
  <c r="M62" i="49"/>
  <c r="AK51" i="3"/>
  <c r="M63" i="47"/>
  <c r="M61" i="47"/>
  <c r="AK54" i="3"/>
  <c r="M62" i="47"/>
  <c r="M60" i="47"/>
  <c r="O60" i="49"/>
  <c r="AP51" i="3"/>
  <c r="O63" i="49"/>
  <c r="AP54" i="3"/>
  <c r="O61" i="49"/>
  <c r="O62" i="49"/>
  <c r="AM51" i="3"/>
  <c r="O63" i="47"/>
  <c r="O61" i="47"/>
  <c r="AM54" i="3"/>
  <c r="O62" i="47"/>
  <c r="O60" i="47"/>
  <c r="N61" i="49"/>
  <c r="AO51" i="3"/>
  <c r="N63" i="49"/>
  <c r="AO54" i="3"/>
  <c r="N60" i="49"/>
  <c r="N62" i="49"/>
  <c r="T54" i="3"/>
  <c r="T51" i="3"/>
  <c r="M50" i="27"/>
  <c r="P55" i="15"/>
  <c r="P61" i="15" s="1"/>
  <c r="W51" i="3"/>
  <c r="W54" i="3"/>
  <c r="N63" i="37"/>
  <c r="N61" i="37"/>
  <c r="N62" i="37"/>
  <c r="N60" i="37"/>
  <c r="X51" i="3"/>
  <c r="X54" i="3"/>
  <c r="O60" i="37"/>
  <c r="O61" i="37"/>
  <c r="O62" i="37"/>
  <c r="O63" i="37"/>
  <c r="AA51" i="3"/>
  <c r="AA54" i="3"/>
  <c r="O62" i="39"/>
  <c r="O61" i="39"/>
  <c r="O60" i="39"/>
  <c r="O63" i="39"/>
  <c r="U51" i="3"/>
  <c r="U54" i="3"/>
  <c r="O62" i="35"/>
  <c r="O61" i="35"/>
  <c r="O60" i="35"/>
  <c r="O63" i="35"/>
  <c r="O66" i="33"/>
  <c r="O64" i="33"/>
  <c r="O65" i="33"/>
  <c r="N64" i="33"/>
  <c r="N65" i="33"/>
  <c r="N66" i="33"/>
  <c r="N62" i="35"/>
  <c r="N61" i="35"/>
  <c r="N60" i="35"/>
  <c r="N63" i="35"/>
  <c r="V54" i="3"/>
  <c r="M63" i="37"/>
  <c r="M60" i="37"/>
  <c r="V51" i="3"/>
  <c r="M62" i="37"/>
  <c r="M61" i="37"/>
  <c r="M53" i="27"/>
  <c r="S51" i="3"/>
  <c r="M62" i="35"/>
  <c r="M61" i="35"/>
  <c r="S54" i="3"/>
  <c r="M60" i="35"/>
  <c r="M63" i="35"/>
  <c r="Y54" i="3"/>
  <c r="M62" i="39"/>
  <c r="M61" i="39"/>
  <c r="Y51" i="3"/>
  <c r="M60" i="39"/>
  <c r="M63" i="39"/>
  <c r="P51" i="3"/>
  <c r="M64" i="33"/>
  <c r="M65" i="33"/>
  <c r="M66" i="33"/>
  <c r="Q64" i="33"/>
  <c r="Q66" i="33"/>
  <c r="Q65" i="33"/>
  <c r="M53" i="33"/>
  <c r="P44" i="3"/>
  <c r="Z51" i="3"/>
  <c r="Z54" i="3"/>
  <c r="N62" i="39"/>
  <c r="N63" i="39"/>
  <c r="N60" i="39"/>
  <c r="N61" i="39"/>
  <c r="O66" i="25"/>
  <c r="O65" i="25"/>
  <c r="O64" i="25"/>
  <c r="P64" i="21"/>
  <c r="P65" i="21"/>
  <c r="P66" i="21"/>
  <c r="O65" i="21"/>
  <c r="O64" i="21"/>
  <c r="O66" i="21"/>
  <c r="O66" i="27"/>
  <c r="O65" i="27"/>
  <c r="O64" i="27"/>
  <c r="Q65" i="17"/>
  <c r="Q64" i="17"/>
  <c r="Q66" i="17"/>
  <c r="O65" i="17"/>
  <c r="O66" i="17"/>
  <c r="O64" i="17"/>
  <c r="P65" i="25"/>
  <c r="P64" i="25"/>
  <c r="P66" i="25"/>
  <c r="N66" i="17"/>
  <c r="N65" i="17"/>
  <c r="N64" i="17"/>
  <c r="P66" i="17"/>
  <c r="P65" i="17"/>
  <c r="P64" i="17"/>
  <c r="O65" i="23"/>
  <c r="O64" i="23"/>
  <c r="O66" i="23"/>
  <c r="P64" i="19"/>
  <c r="P66" i="19"/>
  <c r="P65" i="19"/>
  <c r="P64" i="27"/>
  <c r="P66" i="27"/>
  <c r="P65" i="27"/>
  <c r="O65" i="29"/>
  <c r="O66" i="29"/>
  <c r="O64" i="29"/>
  <c r="N64" i="19"/>
  <c r="N65" i="19"/>
  <c r="N66" i="19"/>
  <c r="N64" i="29"/>
  <c r="N66" i="29"/>
  <c r="N65" i="29"/>
  <c r="N66" i="27"/>
  <c r="N64" i="27"/>
  <c r="N65" i="27"/>
  <c r="O57" i="55"/>
  <c r="P34" i="15"/>
  <c r="N46" i="53"/>
  <c r="N47" i="53" s="1"/>
  <c r="N49" i="53" s="1"/>
  <c r="O33" i="15"/>
  <c r="R63" i="15"/>
  <c r="R64" i="15" s="1"/>
  <c r="R57" i="15"/>
  <c r="R56" i="15"/>
  <c r="P52" i="15"/>
  <c r="P53" i="15" s="1"/>
  <c r="M33" i="53"/>
  <c r="M32" i="53"/>
  <c r="N31" i="53"/>
  <c r="N32" i="53" s="1"/>
  <c r="N31" i="15"/>
  <c r="N28" i="15"/>
  <c r="M45" i="15"/>
  <c r="E32" i="3"/>
  <c r="O46" i="53"/>
  <c r="O31" i="53"/>
  <c r="M51" i="53"/>
  <c r="M47" i="53"/>
  <c r="M49" i="53" s="1"/>
  <c r="M70" i="15"/>
  <c r="M28" i="15"/>
  <c r="Q23" i="3" s="1"/>
  <c r="E22" i="3"/>
  <c r="M58" i="55"/>
  <c r="M57" i="55"/>
  <c r="R52" i="15"/>
  <c r="O60" i="55"/>
  <c r="O62" i="55"/>
  <c r="O59" i="55"/>
  <c r="O61" i="55"/>
  <c r="O65" i="15"/>
  <c r="O66" i="15"/>
  <c r="O64" i="15"/>
  <c r="P64" i="33" l="1"/>
  <c r="M65" i="27"/>
  <c r="M55" i="3" s="1"/>
  <c r="P65" i="33"/>
  <c r="M66" i="17"/>
  <c r="F56" i="3" s="1"/>
  <c r="M53" i="17"/>
  <c r="F44" i="3"/>
  <c r="M66" i="31"/>
  <c r="M64" i="31"/>
  <c r="M65" i="31"/>
  <c r="O51" i="3"/>
  <c r="M53" i="31"/>
  <c r="O44" i="3"/>
  <c r="L52" i="3"/>
  <c r="F52" i="3"/>
  <c r="P59" i="15"/>
  <c r="P60" i="15" s="1"/>
  <c r="M66" i="27"/>
  <c r="M56" i="3" s="1"/>
  <c r="G53" i="3"/>
  <c r="K52" i="3"/>
  <c r="M64" i="27"/>
  <c r="G55" i="3"/>
  <c r="AD55" i="3"/>
  <c r="AD52" i="3"/>
  <c r="AD53" i="3"/>
  <c r="AD56" i="3"/>
  <c r="AB52" i="3"/>
  <c r="AB55" i="3"/>
  <c r="AB56" i="3"/>
  <c r="AB53" i="3"/>
  <c r="AC53" i="3"/>
  <c r="AC56" i="3"/>
  <c r="AC55" i="3"/>
  <c r="AC52" i="3"/>
  <c r="L53" i="3"/>
  <c r="K56" i="3"/>
  <c r="AF52" i="3"/>
  <c r="AF55" i="3"/>
  <c r="AE53" i="3"/>
  <c r="AE56" i="3"/>
  <c r="AG53" i="3"/>
  <c r="AG56" i="3"/>
  <c r="AF53" i="3"/>
  <c r="AF56" i="3"/>
  <c r="AE55" i="3"/>
  <c r="AE52" i="3"/>
  <c r="AG55" i="3"/>
  <c r="AG52" i="3"/>
  <c r="P63" i="15"/>
  <c r="P66" i="15" s="1"/>
  <c r="M53" i="19"/>
  <c r="G44" i="3"/>
  <c r="P57" i="15"/>
  <c r="P62" i="15"/>
  <c r="P56" i="15"/>
  <c r="AM53" i="3"/>
  <c r="AM56" i="3"/>
  <c r="AK53" i="3"/>
  <c r="AK56" i="3"/>
  <c r="AL52" i="3"/>
  <c r="AL55" i="3"/>
  <c r="AO56" i="3"/>
  <c r="AO53" i="3"/>
  <c r="AO52" i="3"/>
  <c r="AO55" i="3"/>
  <c r="AM55" i="3"/>
  <c r="AM52" i="3"/>
  <c r="AP55" i="3"/>
  <c r="AP52" i="3"/>
  <c r="AP53" i="3"/>
  <c r="AP56" i="3"/>
  <c r="AK55" i="3"/>
  <c r="AK52" i="3"/>
  <c r="AN55" i="3"/>
  <c r="AN52" i="3"/>
  <c r="AN53" i="3"/>
  <c r="AN56" i="3"/>
  <c r="AL56" i="3"/>
  <c r="AL53" i="3"/>
  <c r="T56" i="3"/>
  <c r="T53" i="3"/>
  <c r="T52" i="3"/>
  <c r="T55" i="3"/>
  <c r="Z55" i="3"/>
  <c r="Z52" i="3"/>
  <c r="Z56" i="3"/>
  <c r="Z53" i="3"/>
  <c r="P53" i="3"/>
  <c r="P56" i="3"/>
  <c r="Y56" i="3"/>
  <c r="Y53" i="3"/>
  <c r="S53" i="3"/>
  <c r="S56" i="3"/>
  <c r="V52" i="3"/>
  <c r="V55" i="3"/>
  <c r="V56" i="3"/>
  <c r="V53" i="3"/>
  <c r="U56" i="3"/>
  <c r="U53" i="3"/>
  <c r="U55" i="3"/>
  <c r="U52" i="3"/>
  <c r="AA56" i="3"/>
  <c r="AA53" i="3"/>
  <c r="AA55" i="3"/>
  <c r="AA52" i="3"/>
  <c r="X56" i="3"/>
  <c r="X53" i="3"/>
  <c r="X55" i="3"/>
  <c r="X52" i="3"/>
  <c r="W55" i="3"/>
  <c r="W52" i="3"/>
  <c r="P55" i="3"/>
  <c r="P52" i="3"/>
  <c r="Y52" i="3"/>
  <c r="Y55" i="3"/>
  <c r="S55" i="3"/>
  <c r="S52" i="3"/>
  <c r="W56" i="3"/>
  <c r="W53" i="3"/>
  <c r="E38" i="3"/>
  <c r="Q38" i="3"/>
  <c r="N33" i="53"/>
  <c r="N51" i="53"/>
  <c r="N53" i="53" s="1"/>
  <c r="M48" i="15"/>
  <c r="M55" i="15" s="1"/>
  <c r="E58" i="3"/>
  <c r="M71" i="15"/>
  <c r="O32" i="53"/>
  <c r="O33" i="53"/>
  <c r="N32" i="15"/>
  <c r="N29" i="15"/>
  <c r="E25" i="3"/>
  <c r="M68" i="15"/>
  <c r="E23" i="3"/>
  <c r="M29" i="15"/>
  <c r="M32" i="15"/>
  <c r="Q26" i="3" s="1"/>
  <c r="M56" i="53"/>
  <c r="M57" i="53"/>
  <c r="M53" i="53"/>
  <c r="M54" i="53"/>
  <c r="M55" i="53"/>
  <c r="M52" i="53"/>
  <c r="M58" i="53"/>
  <c r="O47" i="53"/>
  <c r="O49" i="53" s="1"/>
  <c r="O51" i="53"/>
  <c r="N68" i="15"/>
  <c r="N69" i="15" s="1"/>
  <c r="N48" i="15"/>
  <c r="D54" i="56"/>
  <c r="D55" i="56"/>
  <c r="D53" i="56"/>
  <c r="D51" i="56"/>
  <c r="D52" i="56"/>
  <c r="D50" i="56"/>
  <c r="M59" i="55"/>
  <c r="M61" i="55"/>
  <c r="M52" i="3" l="1"/>
  <c r="M53" i="3"/>
  <c r="F53" i="3"/>
  <c r="O55" i="3"/>
  <c r="O52" i="3"/>
  <c r="O56" i="3"/>
  <c r="O53" i="3"/>
  <c r="P64" i="15"/>
  <c r="N54" i="53"/>
  <c r="P65" i="15"/>
  <c r="N57" i="53"/>
  <c r="N52" i="53"/>
  <c r="N56" i="53"/>
  <c r="N58" i="53"/>
  <c r="N61" i="53" s="1"/>
  <c r="N55" i="53"/>
  <c r="M61" i="15"/>
  <c r="E49" i="3" s="1"/>
  <c r="E54" i="3"/>
  <c r="Q45" i="3"/>
  <c r="M49" i="15"/>
  <c r="Q42" i="3" s="1"/>
  <c r="Q41" i="3"/>
  <c r="E41" i="3"/>
  <c r="O58" i="53"/>
  <c r="O57" i="53"/>
  <c r="O55" i="53"/>
  <c r="O54" i="53"/>
  <c r="O52" i="53"/>
  <c r="O56" i="53"/>
  <c r="O53" i="53"/>
  <c r="M59" i="53"/>
  <c r="M62" i="53"/>
  <c r="M60" i="53"/>
  <c r="M61" i="53"/>
  <c r="E57" i="3"/>
  <c r="M69" i="15"/>
  <c r="N34" i="15"/>
  <c r="N33" i="15"/>
  <c r="N55" i="15"/>
  <c r="N61" i="15" s="1"/>
  <c r="N49" i="15"/>
  <c r="M34" i="15"/>
  <c r="M33" i="15"/>
  <c r="E26" i="3"/>
  <c r="I18" i="3"/>
  <c r="J18" i="3"/>
  <c r="M62" i="15"/>
  <c r="M59" i="15"/>
  <c r="Q49" i="3" s="1"/>
  <c r="M63" i="15"/>
  <c r="Q51" i="3" s="1"/>
  <c r="M57" i="15"/>
  <c r="E45" i="3"/>
  <c r="M56" i="15"/>
  <c r="J54" i="3"/>
  <c r="N53" i="44"/>
  <c r="L53" i="44"/>
  <c r="P53" i="44"/>
  <c r="I30" i="3"/>
  <c r="J30" i="3"/>
  <c r="N62" i="53" l="1"/>
  <c r="E42" i="3"/>
  <c r="N59" i="53"/>
  <c r="N60" i="53"/>
  <c r="M50" i="15"/>
  <c r="M52" i="15"/>
  <c r="Q44" i="3" s="1"/>
  <c r="E27" i="3"/>
  <c r="Q27" i="3"/>
  <c r="E28" i="3"/>
  <c r="Q28" i="3"/>
  <c r="E50" i="3"/>
  <c r="Q50" i="3"/>
  <c r="E46" i="3"/>
  <c r="Q46" i="3"/>
  <c r="E47" i="3"/>
  <c r="Q47" i="3"/>
  <c r="B12" i="4"/>
  <c r="M60" i="15"/>
  <c r="J22" i="3"/>
  <c r="I22" i="3"/>
  <c r="N50" i="15"/>
  <c r="N52" i="15"/>
  <c r="N53" i="15" s="1"/>
  <c r="M66" i="15"/>
  <c r="Q53" i="3" s="1"/>
  <c r="M65" i="15"/>
  <c r="Q52" i="3" s="1"/>
  <c r="E51" i="3"/>
  <c r="M64" i="15"/>
  <c r="N62" i="15"/>
  <c r="N63" i="15"/>
  <c r="N56" i="15"/>
  <c r="N57" i="15"/>
  <c r="N59" i="15"/>
  <c r="N60" i="15" s="1"/>
  <c r="E44" i="3"/>
  <c r="O61" i="53"/>
  <c r="O62" i="53"/>
  <c r="O59" i="53"/>
  <c r="O60" i="53"/>
  <c r="I32" i="3"/>
  <c r="J56" i="3"/>
  <c r="J55" i="3"/>
  <c r="J32" i="3"/>
  <c r="M53" i="15" l="1"/>
  <c r="K53" i="14"/>
  <c r="K56" i="14"/>
  <c r="K51" i="14"/>
  <c r="K54" i="14"/>
  <c r="K55" i="14"/>
  <c r="E52" i="3"/>
  <c r="E55" i="3"/>
  <c r="J23" i="3"/>
  <c r="N65" i="15"/>
  <c r="N66" i="15"/>
  <c r="N64" i="15"/>
  <c r="E53" i="3"/>
  <c r="E56" i="3"/>
  <c r="N54" i="44"/>
  <c r="P54" i="44"/>
  <c r="L54" i="44"/>
  <c r="I23" i="3"/>
  <c r="I25" i="3"/>
  <c r="J25" i="3"/>
  <c r="I54" i="3"/>
  <c r="I38" i="3"/>
  <c r="I58" i="3"/>
  <c r="J58" i="3"/>
  <c r="J38" i="3"/>
  <c r="I57" i="3" l="1"/>
  <c r="I26" i="3"/>
  <c r="I27" i="3"/>
  <c r="I28" i="3"/>
  <c r="J26" i="3"/>
  <c r="J27" i="3"/>
  <c r="J28" i="3"/>
  <c r="J57" i="3"/>
  <c r="L56" i="14"/>
  <c r="J52" i="56"/>
  <c r="J53" i="56"/>
  <c r="H50" i="56"/>
  <c r="H51" i="56"/>
  <c r="H52" i="56"/>
  <c r="L53" i="14"/>
  <c r="I53" i="56"/>
  <c r="I50" i="56"/>
  <c r="J55" i="56"/>
  <c r="L51" i="14"/>
  <c r="I51" i="56"/>
  <c r="H53" i="56"/>
  <c r="I54" i="56"/>
  <c r="I55" i="56"/>
  <c r="J50" i="56"/>
  <c r="J51" i="56"/>
  <c r="J54" i="56"/>
  <c r="L54" i="14"/>
  <c r="H54" i="56"/>
  <c r="I52" i="56"/>
  <c r="L55" i="14"/>
  <c r="H55" i="56"/>
  <c r="I41" i="3"/>
  <c r="I55" i="3"/>
  <c r="I56" i="3"/>
  <c r="J41" i="3"/>
  <c r="M12" i="4"/>
  <c r="L47" i="44" l="1"/>
  <c r="L42" i="44" s="1"/>
  <c r="M24" i="45" s="1"/>
  <c r="N47" i="44"/>
  <c r="N42" i="44" s="1"/>
  <c r="N24" i="45" s="1"/>
  <c r="P47" i="44"/>
  <c r="P42" i="44" s="1"/>
  <c r="O24" i="45" s="1"/>
  <c r="U55" i="56"/>
  <c r="X55" i="56"/>
  <c r="R55" i="56"/>
  <c r="X53" i="56"/>
  <c r="U53" i="56"/>
  <c r="R53" i="56"/>
  <c r="N53" i="56"/>
  <c r="T53" i="56"/>
  <c r="Z53" i="56"/>
  <c r="L53" i="56"/>
  <c r="W53" i="56"/>
  <c r="P53" i="56"/>
  <c r="X52" i="56"/>
  <c r="U52" i="56"/>
  <c r="R52" i="56"/>
  <c r="P54" i="56"/>
  <c r="L54" i="56"/>
  <c r="Z54" i="56"/>
  <c r="W54" i="56"/>
  <c r="N54" i="56"/>
  <c r="T54" i="56"/>
  <c r="W51" i="56"/>
  <c r="L51" i="56"/>
  <c r="Z51" i="56"/>
  <c r="P51" i="56"/>
  <c r="N51" i="56"/>
  <c r="T51" i="56"/>
  <c r="W50" i="56"/>
  <c r="P50" i="56"/>
  <c r="T50" i="56"/>
  <c r="N50" i="56"/>
  <c r="L50" i="56"/>
  <c r="Z50" i="56"/>
  <c r="X54" i="56"/>
  <c r="R54" i="56"/>
  <c r="U54" i="56"/>
  <c r="U51" i="56"/>
  <c r="X51" i="56"/>
  <c r="R51" i="56"/>
  <c r="N55" i="56"/>
  <c r="W55" i="56"/>
  <c r="L55" i="56"/>
  <c r="T55" i="56"/>
  <c r="Z55" i="56"/>
  <c r="P55" i="56"/>
  <c r="X50" i="56"/>
  <c r="U50" i="56"/>
  <c r="R50" i="56"/>
  <c r="N52" i="56"/>
  <c r="T52" i="56"/>
  <c r="L52" i="56"/>
  <c r="Z52" i="56"/>
  <c r="W52" i="56"/>
  <c r="P52" i="56"/>
  <c r="I42" i="3"/>
  <c r="I47" i="3"/>
  <c r="I46" i="3"/>
  <c r="I48" i="3"/>
  <c r="I45" i="3"/>
  <c r="I50" i="3"/>
  <c r="J42" i="3"/>
  <c r="J45" i="3"/>
  <c r="J46" i="3"/>
  <c r="J47" i="3"/>
  <c r="J48" i="3"/>
  <c r="J50" i="3"/>
  <c r="F12" i="4"/>
  <c r="AI18" i="3" l="1"/>
  <c r="N27" i="45"/>
  <c r="AH18" i="3"/>
  <c r="M27" i="45"/>
  <c r="AJ18" i="3"/>
  <c r="O27" i="45"/>
  <c r="N36" i="45"/>
  <c r="O36" i="45"/>
  <c r="K56" i="56"/>
  <c r="K57" i="56"/>
  <c r="M35" i="57" s="1"/>
  <c r="M37" i="57" s="1"/>
  <c r="M43" i="57" s="1"/>
  <c r="O56" i="56"/>
  <c r="O57" i="56"/>
  <c r="O35" i="57" s="1"/>
  <c r="O37" i="57" s="1"/>
  <c r="O43" i="57" s="1"/>
  <c r="L42" i="56"/>
  <c r="M24" i="57" s="1"/>
  <c r="N42" i="56"/>
  <c r="N24" i="57" s="1"/>
  <c r="M36" i="45"/>
  <c r="M56" i="56"/>
  <c r="M57" i="56"/>
  <c r="N35" i="57" s="1"/>
  <c r="N37" i="57" s="1"/>
  <c r="N43" i="57" s="1"/>
  <c r="P42" i="56"/>
  <c r="O24" i="57" s="1"/>
  <c r="I51" i="3"/>
  <c r="I52" i="3"/>
  <c r="I53" i="3"/>
  <c r="I49" i="3"/>
  <c r="I44" i="3"/>
  <c r="J49" i="3"/>
  <c r="J51" i="3"/>
  <c r="J52" i="3"/>
  <c r="J53" i="3"/>
  <c r="J44" i="3"/>
  <c r="H12" i="4"/>
  <c r="O28" i="45" l="1"/>
  <c r="AJ22" i="3"/>
  <c r="O31" i="45"/>
  <c r="M28" i="45"/>
  <c r="M31" i="45"/>
  <c r="AH22" i="3"/>
  <c r="N28" i="45"/>
  <c r="AI22" i="3"/>
  <c r="N31" i="45"/>
  <c r="K12" i="4"/>
  <c r="O27" i="57"/>
  <c r="O66" i="57"/>
  <c r="O67" i="57" s="1"/>
  <c r="M27" i="57"/>
  <c r="M66" i="57"/>
  <c r="M67" i="57" s="1"/>
  <c r="AJ30" i="3"/>
  <c r="O38" i="45"/>
  <c r="M38" i="45"/>
  <c r="AH30" i="3"/>
  <c r="N27" i="57"/>
  <c r="N66" i="57"/>
  <c r="N67" i="57" s="1"/>
  <c r="N38" i="45"/>
  <c r="AI30" i="3"/>
  <c r="M29" i="45" l="1"/>
  <c r="M32" i="45"/>
  <c r="AH23" i="3"/>
  <c r="N65" i="45"/>
  <c r="AI25" i="3"/>
  <c r="N29" i="45"/>
  <c r="N32" i="45"/>
  <c r="AI23" i="3"/>
  <c r="M65" i="45"/>
  <c r="AH25" i="3"/>
  <c r="AJ25" i="3"/>
  <c r="O65" i="45"/>
  <c r="O29" i="45"/>
  <c r="AJ23" i="3"/>
  <c r="O32" i="45"/>
  <c r="AI32" i="3"/>
  <c r="N67" i="45"/>
  <c r="N44" i="45"/>
  <c r="N30" i="57"/>
  <c r="N64" i="57" s="1"/>
  <c r="N65" i="57" s="1"/>
  <c r="N28" i="57"/>
  <c r="D12" i="4"/>
  <c r="O28" i="57"/>
  <c r="O30" i="57"/>
  <c r="O64" i="57" s="1"/>
  <c r="O65" i="57" s="1"/>
  <c r="AH32" i="3"/>
  <c r="M44" i="45"/>
  <c r="M67" i="45"/>
  <c r="AJ32" i="3"/>
  <c r="O44" i="45"/>
  <c r="O67" i="45"/>
  <c r="M30" i="57"/>
  <c r="M28" i="57"/>
  <c r="O66" i="45" l="1"/>
  <c r="AJ57" i="3"/>
  <c r="N66" i="45"/>
  <c r="AI57" i="3"/>
  <c r="M33" i="45"/>
  <c r="AH27" i="3" s="1"/>
  <c r="M34" i="45"/>
  <c r="AH28" i="3" s="1"/>
  <c r="AH26" i="3"/>
  <c r="O34" i="45"/>
  <c r="AJ28" i="3" s="1"/>
  <c r="AJ26" i="3"/>
  <c r="O33" i="45"/>
  <c r="AJ27" i="3" s="1"/>
  <c r="AH57" i="3"/>
  <c r="M66" i="45"/>
  <c r="N33" i="45"/>
  <c r="AI27" i="3" s="1"/>
  <c r="AI26" i="3"/>
  <c r="N34" i="45"/>
  <c r="AI28" i="3" s="1"/>
  <c r="N46" i="57"/>
  <c r="N51" i="57" s="1"/>
  <c r="O46" i="57"/>
  <c r="O47" i="57" s="1"/>
  <c r="O49" i="57" s="1"/>
  <c r="M31" i="57"/>
  <c r="M33" i="57" s="1"/>
  <c r="O31" i="57"/>
  <c r="O32" i="57" s="1"/>
  <c r="N31" i="57"/>
  <c r="N33" i="57" s="1"/>
  <c r="AJ38" i="3"/>
  <c r="O47" i="45"/>
  <c r="AH58" i="3"/>
  <c r="M68" i="45"/>
  <c r="AI58" i="3"/>
  <c r="N68" i="45"/>
  <c r="M64" i="57"/>
  <c r="M65" i="57" s="1"/>
  <c r="M46" i="57"/>
  <c r="AJ58" i="3"/>
  <c r="O68" i="45"/>
  <c r="AH38" i="3"/>
  <c r="M47" i="45"/>
  <c r="N47" i="45"/>
  <c r="AI38" i="3"/>
  <c r="O51" i="57" l="1"/>
  <c r="O55" i="57" s="1"/>
  <c r="M32" i="57"/>
  <c r="N47" i="57"/>
  <c r="N49" i="57" s="1"/>
  <c r="N32" i="57"/>
  <c r="O33" i="57"/>
  <c r="N12" i="4"/>
  <c r="M52" i="45"/>
  <c r="AH41" i="3"/>
  <c r="M48" i="45"/>
  <c r="O52" i="45"/>
  <c r="AJ41" i="3"/>
  <c r="O48" i="45"/>
  <c r="N48" i="45"/>
  <c r="AI41" i="3"/>
  <c r="N52" i="45"/>
  <c r="N59" i="45" s="1"/>
  <c r="N58" i="57"/>
  <c r="N56" i="57"/>
  <c r="N53" i="57"/>
  <c r="N57" i="57"/>
  <c r="N52" i="57"/>
  <c r="N55" i="57"/>
  <c r="M47" i="57"/>
  <c r="M49" i="57" s="1"/>
  <c r="M51" i="57"/>
  <c r="O56" i="57" l="1"/>
  <c r="O52" i="57"/>
  <c r="O58" i="57"/>
  <c r="O59" i="57" s="1"/>
  <c r="O53" i="57"/>
  <c r="O57" i="57"/>
  <c r="N58" i="45"/>
  <c r="AI54" i="3"/>
  <c r="N53" i="45"/>
  <c r="AI46" i="3" s="1"/>
  <c r="AI45" i="3"/>
  <c r="N54" i="45"/>
  <c r="AI47" i="3" s="1"/>
  <c r="N56" i="45"/>
  <c r="AI49" i="3" s="1"/>
  <c r="Q12" i="4" s="1"/>
  <c r="N55" i="45"/>
  <c r="AI48" i="3" s="1"/>
  <c r="N57" i="45"/>
  <c r="AI50" i="3" s="1"/>
  <c r="N50" i="45"/>
  <c r="AI44" i="3" s="1"/>
  <c r="AI42" i="3"/>
  <c r="AJ42" i="3"/>
  <c r="O50" i="45"/>
  <c r="AJ44" i="3" s="1"/>
  <c r="O55" i="45"/>
  <c r="AJ48" i="3" s="1"/>
  <c r="O56" i="45"/>
  <c r="AJ49" i="3" s="1"/>
  <c r="O59" i="45"/>
  <c r="AJ54" i="3" s="1"/>
  <c r="O58" i="45"/>
  <c r="O53" i="45"/>
  <c r="AJ46" i="3" s="1"/>
  <c r="O57" i="45"/>
  <c r="AJ50" i="3" s="1"/>
  <c r="O54" i="45"/>
  <c r="AJ47" i="3" s="1"/>
  <c r="AJ45" i="3"/>
  <c r="M58" i="57"/>
  <c r="M55" i="57"/>
  <c r="M57" i="57"/>
  <c r="M52" i="57"/>
  <c r="M56" i="57"/>
  <c r="M53" i="57"/>
  <c r="N61" i="57"/>
  <c r="N59" i="57"/>
  <c r="N60" i="57"/>
  <c r="N62" i="57"/>
  <c r="L12" i="4"/>
  <c r="M50" i="45"/>
  <c r="AH44" i="3" s="1"/>
  <c r="AH42" i="3"/>
  <c r="M57" i="45"/>
  <c r="AH50" i="3" s="1"/>
  <c r="M58" i="45"/>
  <c r="M53" i="45"/>
  <c r="AH46" i="3" s="1"/>
  <c r="M59" i="45"/>
  <c r="M54" i="45"/>
  <c r="AH47" i="3" s="1"/>
  <c r="AH45" i="3"/>
  <c r="M56" i="45"/>
  <c r="AH49" i="3" s="1"/>
  <c r="M55" i="45"/>
  <c r="AH48" i="3" s="1"/>
  <c r="O60" i="57" l="1"/>
  <c r="O61" i="57"/>
  <c r="O62" i="57"/>
  <c r="C12" i="4"/>
  <c r="M62" i="45"/>
  <c r="AH51" i="3"/>
  <c r="M61" i="45"/>
  <c r="M63" i="45"/>
  <c r="M60" i="45"/>
  <c r="AH54" i="3"/>
  <c r="M60" i="57"/>
  <c r="M61" i="57"/>
  <c r="M62" i="57"/>
  <c r="M59" i="57"/>
  <c r="O61" i="45"/>
  <c r="AJ51" i="3"/>
  <c r="O63" i="45"/>
  <c r="O62" i="45"/>
  <c r="O60" i="45"/>
  <c r="N60" i="45"/>
  <c r="N63" i="45"/>
  <c r="N61" i="45"/>
  <c r="AI51" i="3"/>
  <c r="N62" i="45"/>
  <c r="AI53" i="3" l="1"/>
  <c r="AI56" i="3"/>
  <c r="AJ53" i="3"/>
  <c r="AJ56" i="3"/>
  <c r="AJ55" i="3"/>
  <c r="AJ52" i="3"/>
  <c r="AH53" i="3"/>
  <c r="AH56" i="3"/>
  <c r="AI55" i="3"/>
  <c r="AI52" i="3"/>
  <c r="AH55" i="3"/>
  <c r="AH52" i="3"/>
  <c r="P67" i="28" l="1"/>
  <c r="Q23" i="29" s="1"/>
  <c r="L69" i="28"/>
  <c r="L67" i="28" s="1"/>
  <c r="M23" i="29" s="1"/>
  <c r="N20" i="3" s="1"/>
  <c r="M27" i="29" l="1"/>
  <c r="N22" i="3" s="1"/>
  <c r="Q27" i="29"/>
  <c r="Q28" i="29" l="1"/>
  <c r="Q31" i="29"/>
  <c r="Q68" i="29" s="1"/>
  <c r="Q69" i="29" s="1"/>
  <c r="M28" i="29"/>
  <c r="N23" i="3" s="1"/>
  <c r="M31" i="29"/>
  <c r="M68" i="29" l="1"/>
  <c r="N57" i="3" s="1"/>
  <c r="N25" i="3"/>
  <c r="Q32" i="29"/>
  <c r="M29" i="29"/>
  <c r="M32" i="29"/>
  <c r="N26" i="3" s="1"/>
  <c r="M48" i="29"/>
  <c r="N41" i="3" s="1"/>
  <c r="Q48" i="29"/>
  <c r="M69" i="29" l="1"/>
  <c r="Q49" i="29"/>
  <c r="Q52" i="29" s="1"/>
  <c r="Q55" i="29"/>
  <c r="Q63" i="29" s="1"/>
  <c r="M34" i="29"/>
  <c r="N28" i="3" s="1"/>
  <c r="M33" i="29"/>
  <c r="N27" i="3" s="1"/>
  <c r="M49" i="29"/>
  <c r="N42" i="3" s="1"/>
  <c r="M55" i="29"/>
  <c r="M61" i="29" l="1"/>
  <c r="N45" i="3"/>
  <c r="N54" i="3"/>
  <c r="M56" i="29"/>
  <c r="N46" i="3" s="1"/>
  <c r="M63" i="29"/>
  <c r="N51" i="3" s="1"/>
  <c r="M62" i="29"/>
  <c r="N50" i="3" s="1"/>
  <c r="M59" i="29"/>
  <c r="M60" i="29" s="1"/>
  <c r="M57" i="29"/>
  <c r="N47" i="3" s="1"/>
  <c r="M52" i="29"/>
  <c r="M50" i="29"/>
  <c r="N49" i="3" l="1"/>
  <c r="I12" i="4" s="1"/>
  <c r="M53" i="29"/>
  <c r="N44" i="3"/>
  <c r="M66" i="29"/>
  <c r="M64" i="29"/>
  <c r="M65" i="29"/>
  <c r="P67" i="20"/>
  <c r="Q23" i="21" s="1"/>
  <c r="L69" i="20"/>
  <c r="L67" i="20" s="1"/>
  <c r="M23" i="21" s="1"/>
  <c r="H20" i="3" s="1"/>
  <c r="N55" i="3" l="1"/>
  <c r="N52" i="3"/>
  <c r="N56" i="3"/>
  <c r="N53" i="3"/>
  <c r="M27" i="21"/>
  <c r="Q27" i="21"/>
  <c r="M31" i="21" l="1"/>
  <c r="M48" i="21" s="1"/>
  <c r="H22" i="3"/>
  <c r="M28" i="21"/>
  <c r="Q31" i="21"/>
  <c r="Q68" i="21" s="1"/>
  <c r="Q69" i="21" s="1"/>
  <c r="Q28" i="21"/>
  <c r="Q48" i="21" l="1"/>
  <c r="Q49" i="21" s="1"/>
  <c r="M49" i="21"/>
  <c r="H41" i="3"/>
  <c r="M55" i="21"/>
  <c r="Q29" i="21"/>
  <c r="Q32" i="21"/>
  <c r="H23" i="3"/>
  <c r="M32" i="21"/>
  <c r="M29" i="21"/>
  <c r="H25" i="3"/>
  <c r="M68" i="21"/>
  <c r="Q55" i="21" l="1"/>
  <c r="Q61" i="21" s="1"/>
  <c r="Q33" i="21"/>
  <c r="Q34" i="21"/>
  <c r="M69" i="21"/>
  <c r="H57" i="3"/>
  <c r="H26" i="3"/>
  <c r="M33" i="21"/>
  <c r="H27" i="3" s="1"/>
  <c r="M34" i="21"/>
  <c r="H28" i="3" s="1"/>
  <c r="Q50" i="21"/>
  <c r="Q52" i="21"/>
  <c r="Q53" i="21" s="1"/>
  <c r="H45" i="3"/>
  <c r="M56" i="21"/>
  <c r="H46" i="3" s="1"/>
  <c r="M57" i="21"/>
  <c r="H47" i="3" s="1"/>
  <c r="M62" i="21"/>
  <c r="H50" i="3" s="1"/>
  <c r="H54" i="3"/>
  <c r="M59" i="21"/>
  <c r="M60" i="21" s="1"/>
  <c r="M63" i="21"/>
  <c r="M61" i="21"/>
  <c r="H49" i="3" s="1"/>
  <c r="E12" i="4" s="1"/>
  <c r="M50" i="21"/>
  <c r="M52" i="21"/>
  <c r="H42" i="3"/>
  <c r="Q59" i="21" l="1"/>
  <c r="Q60" i="21" s="1"/>
  <c r="Q57" i="21"/>
  <c r="Q56" i="21"/>
  <c r="Q62" i="21"/>
  <c r="Q63" i="21"/>
  <c r="Q66" i="21" s="1"/>
  <c r="M64" i="21"/>
  <c r="M65" i="21"/>
  <c r="M66" i="21"/>
  <c r="H51" i="3"/>
  <c r="M53" i="21"/>
  <c r="H44" i="3"/>
  <c r="Q65" i="21" l="1"/>
  <c r="Q64" i="21"/>
  <c r="H55" i="3"/>
  <c r="H52" i="3"/>
  <c r="H56" i="3"/>
  <c r="H53" i="3"/>
</calcChain>
</file>

<file path=xl/comments1.xml><?xml version="1.0" encoding="utf-8"?>
<comments xmlns="http://schemas.openxmlformats.org/spreadsheetml/2006/main">
  <authors>
    <author>Schabel, Katrin (LEL)</author>
  </authors>
  <commentList>
    <comment ref="D16" authorId="0">
      <text>
        <r>
          <rPr>
            <b/>
            <sz val="12"/>
            <color indexed="81"/>
            <rFont val="Tahoma"/>
            <family val="2"/>
          </rPr>
          <t>Wird ein geschlossener Betriebskreislauf unterstellt, kann die Nährstoffabfuhr im Blatt Preise ausgeschalten werden.</t>
        </r>
      </text>
    </comment>
  </commentList>
</comments>
</file>

<file path=xl/comments2.xml><?xml version="1.0" encoding="utf-8"?>
<comments xmlns="http://schemas.openxmlformats.org/spreadsheetml/2006/main">
  <authors>
    <author>OverRalf</author>
    <author>Ein geschätzter Microsoft Office Anwender</author>
  </authors>
  <commentList>
    <comment ref="E8" authorId="0">
      <text>
        <r>
          <rPr>
            <b/>
            <sz val="8"/>
            <color indexed="81"/>
            <rFont val="Tahoma"/>
            <family val="2"/>
          </rPr>
          <t>Arbeiten ausserhalb der landw. Flächenbewirtschaftung, z.B. auch Forstarbeiten o.ä.</t>
        </r>
        <r>
          <rPr>
            <sz val="8"/>
            <color indexed="81"/>
            <rFont val="Tahoma"/>
            <family val="2"/>
          </rPr>
          <t xml:space="preserve">
</t>
        </r>
      </text>
    </comment>
    <comment ref="Q8" authorId="1">
      <text>
        <r>
          <rPr>
            <sz val="10"/>
            <color indexed="81"/>
            <rFont val="Tahoma"/>
            <family val="2"/>
          </rPr>
          <t>hier wird die Einsatzfläche der jeweiligen Maschine im Betrieb eingegeben.</t>
        </r>
        <r>
          <rPr>
            <sz val="8"/>
            <color indexed="81"/>
            <rFont val="Tahoma"/>
            <family val="2"/>
          </rPr>
          <t xml:space="preserve">
</t>
        </r>
      </text>
    </comment>
  </commentList>
</comments>
</file>

<file path=xl/comments3.xml><?xml version="1.0" encoding="utf-8"?>
<comments xmlns="http://schemas.openxmlformats.org/spreadsheetml/2006/main">
  <authors>
    <author>Schabel, Katrin (LEL)</author>
  </authors>
  <commentList>
    <comment ref="G32" authorId="0">
      <text>
        <r>
          <rPr>
            <b/>
            <sz val="8"/>
            <color indexed="81"/>
            <rFont val="Tahoma"/>
            <family val="2"/>
          </rPr>
          <t>Schabel, Katrin (LEL):</t>
        </r>
        <r>
          <rPr>
            <sz val="8"/>
            <color indexed="81"/>
            <rFont val="Tahoma"/>
            <family val="2"/>
          </rPr>
          <t xml:space="preserve">
entspricht ca. 40 ha Heu mit  1/2 Boden und 1/2 Trocknungsheu</t>
        </r>
      </text>
    </comment>
  </commentList>
</comments>
</file>

<file path=xl/sharedStrings.xml><?xml version="1.0" encoding="utf-8"?>
<sst xmlns="http://schemas.openxmlformats.org/spreadsheetml/2006/main" count="8250" uniqueCount="1420">
  <si>
    <t>Einheit</t>
  </si>
  <si>
    <t xml:space="preserve">Grassilage:Folie, Anstrich, Säcke </t>
  </si>
  <si>
    <t xml:space="preserve">Maissilage/GPS:Folie, Anstrich, Säcke </t>
  </si>
  <si>
    <t>Wiese</t>
  </si>
  <si>
    <t>Ackerland</t>
  </si>
  <si>
    <t>ha</t>
  </si>
  <si>
    <t>Mehrwertsteuersatz in %</t>
  </si>
  <si>
    <t>Zinssatz (i) Maschinenkapital in %</t>
  </si>
  <si>
    <t>Zinssatz (i) Gebäudekapital in %</t>
  </si>
  <si>
    <t>Maschinen</t>
  </si>
  <si>
    <t>Anschaf-</t>
  </si>
  <si>
    <t>Anteil</t>
  </si>
  <si>
    <t>Anteil. An-</t>
  </si>
  <si>
    <t>Nutzgs.-</t>
  </si>
  <si>
    <t>Restwert</t>
  </si>
  <si>
    <t>Jahreskos-ten (Afa, Zins), mit Mwst.</t>
  </si>
  <si>
    <t>Fläche zur Aufteilung der Festkosten (ha)</t>
  </si>
  <si>
    <t>Summe</t>
  </si>
  <si>
    <t>(ohne Maschinen zur Wirt-</t>
  </si>
  <si>
    <t>fungswert</t>
  </si>
  <si>
    <t>Lohn-</t>
  </si>
  <si>
    <t>schaffgswert</t>
  </si>
  <si>
    <t>dauer</t>
  </si>
  <si>
    <t>(mit MwSt.)</t>
  </si>
  <si>
    <t>Rotationsmähwerk(Front-) 2,8 m</t>
  </si>
  <si>
    <t>90-105 €</t>
  </si>
  <si>
    <t>95 €</t>
  </si>
  <si>
    <t>Nachsaatmaschine Grünland</t>
  </si>
  <si>
    <t>x</t>
  </si>
  <si>
    <t>Abfuhr (Ertrag ab Feld)</t>
  </si>
  <si>
    <t>kalk. BZE</t>
  </si>
  <si>
    <t>Arbeitszeitbedarf (ständige AK)</t>
  </si>
  <si>
    <r>
      <t>€/m</t>
    </r>
    <r>
      <rPr>
        <vertAlign val="superscript"/>
        <sz val="12"/>
        <rFont val="Arial"/>
        <family val="2"/>
      </rPr>
      <t>3</t>
    </r>
  </si>
  <si>
    <t>Fahrsilo</t>
  </si>
  <si>
    <t>Kostenrechnung Futterbau</t>
  </si>
  <si>
    <t>Summe (€/m³)</t>
  </si>
  <si>
    <t>Nutzungs-</t>
  </si>
  <si>
    <r>
      <t>€/m</t>
    </r>
    <r>
      <rPr>
        <vertAlign val="superscript"/>
        <sz val="11"/>
        <rFont val="Arial"/>
        <family val="2"/>
      </rPr>
      <t>3</t>
    </r>
  </si>
  <si>
    <t>Heulagerraum</t>
  </si>
  <si>
    <t>Heubelüftung</t>
  </si>
  <si>
    <t>Cobs</t>
  </si>
  <si>
    <t>Lagerraum Cobs</t>
  </si>
  <si>
    <t>Gemeinkosten</t>
  </si>
  <si>
    <t>Kosten für Fläche</t>
  </si>
  <si>
    <t>(Pachtansatz, nicht bei Zwischenfrüchten)</t>
  </si>
  <si>
    <t>Grünl.</t>
  </si>
  <si>
    <t>Acker</t>
  </si>
  <si>
    <t>mit</t>
  </si>
  <si>
    <t>MwSt.</t>
  </si>
  <si>
    <t>Variable Maschinenkosten, Arbeitszeitbedarf</t>
  </si>
  <si>
    <t>Gasölverbilligung</t>
  </si>
  <si>
    <t>€/l</t>
  </si>
  <si>
    <t>Schlepper</t>
  </si>
  <si>
    <t>Typ</t>
  </si>
  <si>
    <t>Kreiselegge mit 80 KW-Schlepper</t>
  </si>
  <si>
    <t>Kreiseleggendrill</t>
  </si>
  <si>
    <t>eigene Annahmen</t>
  </si>
  <si>
    <t>eig. Annahme</t>
  </si>
  <si>
    <t>Jahre</t>
  </si>
  <si>
    <t>4ScharDrehpflug</t>
  </si>
  <si>
    <t>Kreiselwender 5,5 m</t>
  </si>
  <si>
    <t>Sonstige Maschinen</t>
  </si>
  <si>
    <t>Gebäude</t>
  </si>
  <si>
    <t>Unterhal-</t>
  </si>
  <si>
    <t>Jahres-</t>
  </si>
  <si>
    <t>Fläche zur Aufteilung der Festkosten ha</t>
  </si>
  <si>
    <t>Ganzpflanzensilage (GPS)</t>
  </si>
  <si>
    <t>Ertragsniveau/Produktivität des Standorts</t>
  </si>
  <si>
    <t>niedrig</t>
  </si>
  <si>
    <t>mittel</t>
  </si>
  <si>
    <t>hoch</t>
  </si>
  <si>
    <t>Ertrag / Aufwuchs (brutto)</t>
  </si>
  <si>
    <t>dt TM/ha</t>
  </si>
  <si>
    <t>Kreiselegge 3 m</t>
  </si>
  <si>
    <t>Kreiselegge-Säkomb. 3 m, mechanisch</t>
  </si>
  <si>
    <t>Sämaschine 3 m</t>
  </si>
  <si>
    <t>Mulchgerät 3 m</t>
  </si>
  <si>
    <t>Quetschen/Schroten/Lagern</t>
  </si>
  <si>
    <t>mais</t>
  </si>
  <si>
    <t>rüben</t>
  </si>
  <si>
    <t>flächen</t>
  </si>
  <si>
    <t>(n. KTBL)</t>
  </si>
  <si>
    <t>futter</t>
  </si>
  <si>
    <t>€</t>
  </si>
  <si>
    <t xml:space="preserve">  - Zinsansatz Umlaufvermögen</t>
  </si>
  <si>
    <r>
      <t>variable Lohnkosten</t>
    </r>
    <r>
      <rPr>
        <sz val="11"/>
        <rFont val="Arial"/>
        <family val="2"/>
      </rPr>
      <t xml:space="preserve"> (nichtständige AK)</t>
    </r>
  </si>
  <si>
    <r>
      <t>1)</t>
    </r>
    <r>
      <rPr>
        <vertAlign val="superscript"/>
        <sz val="12"/>
        <rFont val="Arial"/>
        <family val="2"/>
      </rPr>
      <t xml:space="preserve"> </t>
    </r>
    <r>
      <rPr>
        <sz val="12"/>
        <rFont val="Arial"/>
        <family val="2"/>
      </rPr>
      <t>(jeweils 3 Ertrags- bzw. Produktivitätsniveaus des Standorts berechnet (niedrig, mittel, hoch)</t>
    </r>
  </si>
  <si>
    <t>Zwei-Kulturen-Nutzung: Folie, Anstrich, Säcke</t>
  </si>
  <si>
    <t>Standweide extensiv</t>
  </si>
  <si>
    <t>Sammeleingaben</t>
  </si>
  <si>
    <t>Hauptprodukte</t>
  </si>
  <si>
    <r>
      <t>Nutzung</t>
    </r>
    <r>
      <rPr>
        <sz val="12"/>
        <rFont val="Arial"/>
        <family val="2"/>
      </rPr>
      <t xml:space="preserve"> (Schnitt)</t>
    </r>
  </si>
  <si>
    <t>1.</t>
  </si>
  <si>
    <t>2.</t>
  </si>
  <si>
    <t>3.</t>
  </si>
  <si>
    <t>4.</t>
  </si>
  <si>
    <t>5.</t>
  </si>
  <si>
    <t>Kreiselegge-Säkombination (3 m)</t>
  </si>
  <si>
    <t xml:space="preserve">   Lohnansatz (für ständige AK)</t>
  </si>
  <si>
    <t>Summe feste Spezial- und Gemeinkosten</t>
  </si>
  <si>
    <t>Kosten abzgl. Ausgleichs-</t>
  </si>
  <si>
    <t>€/dt FM</t>
  </si>
  <si>
    <t xml:space="preserve">€/m³ </t>
  </si>
  <si>
    <t>leistungen, feste Gebäude-</t>
  </si>
  <si>
    <t>kosten und Lagerraum</t>
  </si>
  <si>
    <t>Trockenmasseerträge und Nährstoffentzüge bei Futterpflanzen</t>
  </si>
  <si>
    <t>Kultur /</t>
  </si>
  <si>
    <t>Ertrag</t>
  </si>
  <si>
    <t>Abfuhr</t>
  </si>
  <si>
    <t>N-</t>
  </si>
  <si>
    <r>
      <t>Nährstoffentzug je dt Abfuhr</t>
    </r>
    <r>
      <rPr>
        <sz val="10"/>
        <rFont val="Arial"/>
        <family val="2"/>
      </rPr>
      <t xml:space="preserve"> (Ernteprodukt)</t>
    </r>
  </si>
  <si>
    <t xml:space="preserve"> </t>
  </si>
  <si>
    <t xml:space="preserve">Nutzungen </t>
  </si>
  <si>
    <t>Lieferung</t>
  </si>
  <si>
    <t>pro Jahr</t>
  </si>
  <si>
    <t>Standort</t>
  </si>
  <si>
    <t>Standw. ext.</t>
  </si>
  <si>
    <t>Ackerfutter</t>
  </si>
  <si>
    <t>Hauptprodukt</t>
  </si>
  <si>
    <r>
      <t>Ertrag / Aufwuchs</t>
    </r>
    <r>
      <rPr>
        <sz val="12"/>
        <rFont val="Arial"/>
        <family val="2"/>
      </rPr>
      <t xml:space="preserve"> (brutto)</t>
    </r>
  </si>
  <si>
    <t>davon in %</t>
  </si>
  <si>
    <t>Verluste TM</t>
  </si>
  <si>
    <t>Feldverluste (z. B. Bröckelv.)</t>
  </si>
  <si>
    <t>TM-Gehalt</t>
  </si>
  <si>
    <t>bei Abfuhr</t>
  </si>
  <si>
    <t>% TM</t>
  </si>
  <si>
    <t>bei Verfütterung</t>
  </si>
  <si>
    <t>Raumgewicht</t>
  </si>
  <si>
    <t>dt FM/m³</t>
  </si>
  <si>
    <t>dt TM/m³</t>
  </si>
  <si>
    <r>
      <t xml:space="preserve">Abfuhr </t>
    </r>
    <r>
      <rPr>
        <sz val="11"/>
        <rFont val="Arial"/>
        <family val="2"/>
      </rPr>
      <t>Hauptprodukt</t>
    </r>
  </si>
  <si>
    <r>
      <t>Futterlieferung</t>
    </r>
    <r>
      <rPr>
        <sz val="11"/>
        <rFont val="Arial"/>
        <family val="2"/>
      </rPr>
      <t xml:space="preserve"> Hauptprodukt (netto)</t>
    </r>
  </si>
  <si>
    <r>
      <t>Nährstoffeinheiten</t>
    </r>
    <r>
      <rPr>
        <sz val="10"/>
        <rFont val="Arial"/>
        <family val="2"/>
      </rPr>
      <t xml:space="preserve"> (b. Verfütterung)</t>
    </r>
  </si>
  <si>
    <t>MJ NEL/kg TM</t>
  </si>
  <si>
    <t>Umrechnungsfaktor NEL/ME:</t>
  </si>
  <si>
    <t>MJ ME/kg TM</t>
  </si>
  <si>
    <t>10 MJ NEL/ha</t>
  </si>
  <si>
    <t>10 MJ ME/ha</t>
  </si>
  <si>
    <t>s. [Ausglleist]</t>
  </si>
  <si>
    <r>
      <t>Saatgut</t>
    </r>
    <r>
      <rPr>
        <sz val="11"/>
        <rFont val="Arial"/>
        <family val="2"/>
      </rPr>
      <t xml:space="preserve"> (Nachsaat)</t>
    </r>
  </si>
  <si>
    <t>MwSt.-Satz %</t>
  </si>
  <si>
    <t>o. Mwst.</t>
  </si>
  <si>
    <t>Einh. /ha</t>
  </si>
  <si>
    <t>Nährstoff</t>
  </si>
  <si>
    <t>€/kg</t>
  </si>
  <si>
    <t>Abfuhr kg/dt TM</t>
  </si>
  <si>
    <t>Zu-/Abschl. kg/ha</t>
  </si>
  <si>
    <t>kg/ha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</si>
  <si>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</si>
  <si>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</si>
  <si>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Pflanzenschutz</t>
  </si>
  <si>
    <t>Pflanzenschutzmittel</t>
  </si>
  <si>
    <t>o. MwSt.</t>
  </si>
  <si>
    <t>Einh/ha</t>
  </si>
  <si>
    <t>€/ha</t>
  </si>
  <si>
    <t xml:space="preserve">   Saatgut</t>
  </si>
  <si>
    <t xml:space="preserve">   Pflanzenschutz </t>
  </si>
  <si>
    <t xml:space="preserve">   Variable Lohnkosten (nichtständige AK)</t>
  </si>
  <si>
    <t>€/10 MJ NEL</t>
  </si>
  <si>
    <t>€/10 MJ ME</t>
  </si>
  <si>
    <t>Arbeitszeitbedarf</t>
  </si>
  <si>
    <t>AKh/ha</t>
  </si>
  <si>
    <t>Lagerraumbedarf (Abfuhr)</t>
  </si>
  <si>
    <t xml:space="preserve">   Feste Kosten Lagerraum</t>
  </si>
  <si>
    <t xml:space="preserve">   Feste Kosten sonst. Gebäude</t>
  </si>
  <si>
    <t>var. Kost.</t>
  </si>
  <si>
    <r>
      <t>Kosten für Fläche und Zahlungsanspruch</t>
    </r>
    <r>
      <rPr>
        <sz val="11"/>
        <rFont val="Arial"/>
        <family val="2"/>
      </rPr>
      <t xml:space="preserve"> (Pachtansatz)</t>
    </r>
  </si>
  <si>
    <t>Silierkette Mais:</t>
  </si>
  <si>
    <t>Häckseln, Transport und Festfahren</t>
  </si>
  <si>
    <r>
      <t>Arbeitszeitbedarf</t>
    </r>
    <r>
      <rPr>
        <sz val="12"/>
        <rFont val="Arial"/>
        <family val="2"/>
      </rPr>
      <t xml:space="preserve"> (ständige AK)</t>
    </r>
  </si>
  <si>
    <t>Mit Zuschl. für allg. Arbeiten</t>
  </si>
  <si>
    <t>Lohnmaschinen</t>
  </si>
  <si>
    <t>Masch./Arb.gang</t>
  </si>
  <si>
    <t>€/Arb.gang</t>
  </si>
  <si>
    <t>Arb.gänge/ha</t>
  </si>
  <si>
    <t xml:space="preserve">Zuteilung auf einzelne Nutzungen  Arb.gänge/ha </t>
  </si>
  <si>
    <t>zurück zum Inhaltsverzeichnis</t>
  </si>
  <si>
    <t>Prämien aus Zahlungsansprüchen</t>
  </si>
  <si>
    <t>€/dt inkl. Mwst.</t>
  </si>
  <si>
    <t>Kosten Futtemittel</t>
  </si>
  <si>
    <t>Energiegehalt</t>
  </si>
  <si>
    <t>Gesamtkosten</t>
  </si>
  <si>
    <t>Futtergerste</t>
  </si>
  <si>
    <t>Nutzung</t>
  </si>
  <si>
    <t>s. [VarMakost]</t>
  </si>
  <si>
    <t xml:space="preserve"> /ha</t>
  </si>
  <si>
    <t xml:space="preserve"> Arbeitsgänge/ha </t>
  </si>
  <si>
    <t>35-45 €</t>
  </si>
  <si>
    <t>12-17 €</t>
  </si>
  <si>
    <t>18-24 €</t>
  </si>
  <si>
    <t>Kurzschnitt-Ladewagen, Dosierwalzen, 40 m3</t>
  </si>
  <si>
    <t>30-45 €</t>
  </si>
  <si>
    <t>25-35 €</t>
  </si>
  <si>
    <t>55-65 €</t>
  </si>
  <si>
    <r>
      <t>160 €</t>
    </r>
    <r>
      <rPr>
        <vertAlign val="superscript"/>
        <sz val="12"/>
        <rFont val="Arial"/>
        <family val="2"/>
      </rPr>
      <t>1)</t>
    </r>
  </si>
  <si>
    <t>60 €</t>
  </si>
  <si>
    <t>50-70 €</t>
  </si>
  <si>
    <t>Silagetransport mit 10 to.-Kipper</t>
  </si>
  <si>
    <t>160-200 €</t>
  </si>
  <si>
    <t>100 €/ha</t>
  </si>
  <si>
    <t>145-180 €</t>
  </si>
  <si>
    <t>40-55 €</t>
  </si>
  <si>
    <t>15-22 €</t>
  </si>
  <si>
    <t>90 €</t>
  </si>
  <si>
    <r>
      <t>170 €</t>
    </r>
    <r>
      <rPr>
        <vertAlign val="superscript"/>
        <sz val="12"/>
        <rFont val="Arial"/>
        <family val="2"/>
      </rPr>
      <t>1)</t>
    </r>
  </si>
  <si>
    <t>kg N/ha</t>
  </si>
  <si>
    <t>N</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</si>
  <si>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</si>
  <si>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</si>
  <si>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MgO</t>
  </si>
  <si>
    <t>CaO</t>
  </si>
  <si>
    <t>Feste Kosten Lagerraum</t>
  </si>
  <si>
    <r>
      <t>Lohnansatz</t>
    </r>
    <r>
      <rPr>
        <sz val="11"/>
        <rFont val="Arial"/>
        <family val="2"/>
      </rPr>
      <t xml:space="preserve"> (für ständige AK)</t>
    </r>
  </si>
  <si>
    <t>= kostendeckender Erlös langfristig</t>
  </si>
  <si>
    <r>
      <t>Variable Lohnkosten</t>
    </r>
    <r>
      <rPr>
        <sz val="11"/>
        <rFont val="Arial"/>
        <family val="2"/>
      </rPr>
      <t xml:space="preserve"> (nichtständige AK)</t>
    </r>
  </si>
  <si>
    <r>
      <t>Saatgut</t>
    </r>
    <r>
      <rPr>
        <sz val="11"/>
        <rFont val="Arial"/>
        <family val="2"/>
      </rPr>
      <t xml:space="preserve"> (ggf. mit Begrünung)</t>
    </r>
  </si>
  <si>
    <t xml:space="preserve">Feste Kosten Lagerraum </t>
  </si>
  <si>
    <t>€/Std.</t>
  </si>
  <si>
    <r>
      <t>€/m</t>
    </r>
    <r>
      <rPr>
        <vertAlign val="superscript"/>
        <sz val="11"/>
        <rFont val="Arial"/>
        <family val="2"/>
      </rPr>
      <t>³</t>
    </r>
  </si>
  <si>
    <t>Futterlieferung Hauptprodukt (netto)</t>
  </si>
  <si>
    <r>
      <t>Variable Lohnkosten</t>
    </r>
    <r>
      <rPr>
        <sz val="12"/>
        <rFont val="Arial"/>
        <family val="2"/>
      </rPr>
      <t xml:space="preserve"> (nichtständige AK)</t>
    </r>
  </si>
  <si>
    <t>Zuteilung auf einzelne Nutzungen  AKh/ha</t>
  </si>
  <si>
    <t>€/AKh</t>
  </si>
  <si>
    <t>s. Blatt [Preise]</t>
  </si>
  <si>
    <t>Sonst. variable Kosten</t>
  </si>
  <si>
    <t>Kostenart</t>
  </si>
  <si>
    <t>Festkosten u. Arbeit</t>
  </si>
  <si>
    <t xml:space="preserve">Pflanzenschutz </t>
  </si>
  <si>
    <t>Feste Maschinenkosten</t>
  </si>
  <si>
    <t>Schlepper 3 mit Frontlader 1750 daN</t>
  </si>
  <si>
    <t>Scheibenegge 3 m</t>
  </si>
  <si>
    <t>Kreiselschwader 4 Kreisel 12,5 m Mittelablage</t>
  </si>
  <si>
    <t>CCM</t>
  </si>
  <si>
    <t>HD-</t>
  </si>
  <si>
    <t>lose</t>
  </si>
  <si>
    <t>Silage</t>
  </si>
  <si>
    <t>Silomais</t>
  </si>
  <si>
    <t xml:space="preserve">  Nährstoffverluste bei Gülle::</t>
  </si>
  <si>
    <t>N:</t>
  </si>
  <si>
    <t>P2O5:</t>
  </si>
  <si>
    <t>K2O:</t>
  </si>
  <si>
    <t>MgO:</t>
  </si>
  <si>
    <r>
      <t xml:space="preserve">Arbeitszeitbedarf </t>
    </r>
    <r>
      <rPr>
        <b/>
        <sz val="12"/>
        <rFont val="Arial"/>
        <family val="2"/>
      </rPr>
      <t>(ständige AK)</t>
    </r>
  </si>
  <si>
    <t>Feste Gebäudekosten</t>
  </si>
  <si>
    <t>sonstige Festkosten</t>
  </si>
  <si>
    <t>Versicherung</t>
  </si>
  <si>
    <r>
      <t>variable Maschinenkosten</t>
    </r>
    <r>
      <rPr>
        <sz val="11"/>
        <rFont val="Arial"/>
        <family val="2"/>
      </rPr>
      <t xml:space="preserve"> (eigene Maschinen)</t>
    </r>
  </si>
  <si>
    <t>E. Deckungsbeiträge / Vollkosten der Produktionsverfahren (s. auch Übersicht)</t>
  </si>
  <si>
    <t>Verfahren</t>
  </si>
  <si>
    <t>Grünfütterung</t>
  </si>
  <si>
    <t>Grassilage</t>
  </si>
  <si>
    <t>3 Nutzungen</t>
  </si>
  <si>
    <t>Heu</t>
  </si>
  <si>
    <t>Weide</t>
  </si>
  <si>
    <t>Portionsweide</t>
  </si>
  <si>
    <t>Z.44-Z.41</t>
  </si>
  <si>
    <t>Stand:</t>
  </si>
  <si>
    <t>Inhaltsverzeichnis</t>
  </si>
  <si>
    <t>Maissilage</t>
  </si>
  <si>
    <t>Hinweise für den Benutzer</t>
  </si>
  <si>
    <t>B. Übersicht über die kalkulierten Produktionsverfahren</t>
  </si>
  <si>
    <t>C. Allgemeine Orientierungswerte Futterbau</t>
  </si>
  <si>
    <t>D. Allgemeine Berechnungsgrundlagen (Stammdaten)</t>
  </si>
  <si>
    <t>12</t>
  </si>
  <si>
    <t>65-70</t>
  </si>
  <si>
    <r>
      <t>VOS</t>
    </r>
    <r>
      <rPr>
        <vertAlign val="superscript"/>
        <sz val="10"/>
        <rFont val="Arial"/>
        <family val="2"/>
      </rPr>
      <t>1)</t>
    </r>
    <r>
      <rPr>
        <sz val="10"/>
        <rFont val="Arial"/>
        <family val="2"/>
      </rPr>
      <t>: Verdaulichkeit der organischen Substanz</t>
    </r>
  </si>
  <si>
    <t>Produktionsverfahren:</t>
  </si>
  <si>
    <t>Futterbau</t>
  </si>
  <si>
    <t>bei Einlagerung</t>
  </si>
  <si>
    <t xml:space="preserve">(verfahrensspezif. Ausgl.-leist. und Prämien </t>
  </si>
  <si>
    <t>aus ZA) = kostendeckender Erlös, langfristig</t>
  </si>
  <si>
    <t>kalk. Betriebszweigerg.</t>
  </si>
  <si>
    <r>
      <t xml:space="preserve">Deckungsbeitrag </t>
    </r>
    <r>
      <rPr>
        <b/>
        <sz val="10"/>
        <rFont val="Arial"/>
        <family val="2"/>
      </rPr>
      <t xml:space="preserve"> ohne Prämien             </t>
    </r>
  </si>
  <si>
    <t>Folgeschnitte</t>
  </si>
  <si>
    <t>&lt;30</t>
  </si>
  <si>
    <t>&lt;80</t>
  </si>
  <si>
    <t>% TS-Gehalt des Substrates:</t>
  </si>
  <si>
    <t>3-Seitenkipper (10 t Nutzlast)</t>
  </si>
  <si>
    <t>6,6</t>
  </si>
  <si>
    <t>im Ähren- / Rispenschieben</t>
  </si>
  <si>
    <t>Beginn Blüte</t>
  </si>
  <si>
    <t>Ende Blüte</t>
  </si>
  <si>
    <t>Nr.</t>
  </si>
  <si>
    <t>Erntejahr</t>
  </si>
  <si>
    <t>Kreiselschwader 7,5 m Seitenablage</t>
  </si>
  <si>
    <t>Wiesenwalze 3 m</t>
  </si>
  <si>
    <r>
      <t xml:space="preserve">Lohnmaschinen </t>
    </r>
    <r>
      <rPr>
        <sz val="10"/>
        <rFont val="Arial"/>
        <family val="2"/>
      </rPr>
      <t>(inkl. Gülleausbr., falls Güllerücklieferung)</t>
    </r>
  </si>
  <si>
    <t>P2O5</t>
  </si>
  <si>
    <t>K2O</t>
  </si>
  <si>
    <t>Vollkosten abzgl. Ausgleichsleistungen u. Prämien aus Zahlungsansprüchen (ZA)</t>
  </si>
  <si>
    <t>Phosphor</t>
  </si>
  <si>
    <r>
      <t>P</t>
    </r>
    <r>
      <rPr>
        <vertAlign val="subscript"/>
        <sz val="12"/>
        <rFont val="Arial"/>
        <family val="2"/>
      </rPr>
      <t>2</t>
    </r>
    <r>
      <rPr>
        <sz val="12"/>
        <rFont val="Arial"/>
        <family val="2"/>
      </rPr>
      <t>O</t>
    </r>
    <r>
      <rPr>
        <vertAlign val="subscript"/>
        <sz val="12"/>
        <rFont val="Arial"/>
        <family val="2"/>
      </rPr>
      <t>5</t>
    </r>
  </si>
  <si>
    <t>Kalium</t>
  </si>
  <si>
    <r>
      <t>K</t>
    </r>
    <r>
      <rPr>
        <vertAlign val="subscript"/>
        <sz val="12"/>
        <rFont val="Arial"/>
        <family val="2"/>
      </rPr>
      <t>2</t>
    </r>
    <r>
      <rPr>
        <sz val="12"/>
        <rFont val="Arial"/>
        <family val="2"/>
      </rPr>
      <t>O</t>
    </r>
  </si>
  <si>
    <t>Magnesium</t>
  </si>
  <si>
    <t>Umlaufvermögen</t>
  </si>
  <si>
    <t>Maschinenkapital</t>
  </si>
  <si>
    <t>Lohnansatz für ständige AK</t>
  </si>
  <si>
    <t>Lohnansatz (€/Akh)</t>
  </si>
  <si>
    <t>€/dt Trockengrün (90% TM)</t>
  </si>
  <si>
    <t>Maschinen- und Gebäude-Festkosten</t>
  </si>
  <si>
    <r>
      <t>Summe variable Kosten</t>
    </r>
    <r>
      <rPr>
        <sz val="9"/>
        <rFont val="Arial"/>
        <family val="2"/>
      </rPr>
      <t>(Summe Z.11 bis Z.18)</t>
    </r>
  </si>
  <si>
    <r>
      <t>€/10 MJ NEL bzw /m</t>
    </r>
    <r>
      <rPr>
        <vertAlign val="superscript"/>
        <sz val="12"/>
        <rFont val="Arial"/>
        <family val="2"/>
      </rPr>
      <t>3</t>
    </r>
    <r>
      <rPr>
        <sz val="12"/>
        <rFont val="Arial"/>
        <family val="2"/>
      </rPr>
      <t xml:space="preserve"> Methan</t>
    </r>
  </si>
  <si>
    <t>Einkauf sonstige Betriebsmittel</t>
  </si>
  <si>
    <t>Sonstige variable Kosten (Mittelwert)</t>
  </si>
  <si>
    <t>Nährstoffpreise in €/kg Reinnährstoff</t>
  </si>
  <si>
    <t>Mehrwertsteuersatz in %:</t>
  </si>
  <si>
    <t>m. MwSt.</t>
  </si>
  <si>
    <t xml:space="preserve">bei 70% Anrechnung Gülle-N im 1. Jahr </t>
  </si>
  <si>
    <t>bei 70% anrechenbarer Gülle-N im Ausbringungsjahr</t>
  </si>
  <si>
    <t>Aktuell</t>
  </si>
  <si>
    <t>je Std.</t>
  </si>
  <si>
    <t>Erntejahr:</t>
  </si>
  <si>
    <t>Mehrwertsteuersätze in %</t>
  </si>
  <si>
    <t>Verkauf landw. Erzeugnisse</t>
  </si>
  <si>
    <t>€/m3 Methan</t>
  </si>
  <si>
    <r>
      <t>Abfuhr</t>
    </r>
    <r>
      <rPr>
        <sz val="11"/>
        <rFont val="Arial"/>
        <family val="2"/>
      </rPr>
      <t/>
    </r>
  </si>
  <si>
    <t>Grünl. Ext.</t>
  </si>
  <si>
    <t>= Kostendeckender Erlös langfristig</t>
  </si>
  <si>
    <t>€/10 MJ ME bzw. €/GJ ME</t>
  </si>
  <si>
    <t>Summe Kosten</t>
  </si>
  <si>
    <t>Gras Häckseln Selbstfahrer (265 KW)</t>
  </si>
  <si>
    <t>inkl .Schlepper und Fahrer</t>
  </si>
  <si>
    <t>1. Schnitt</t>
  </si>
  <si>
    <t>Festfahren mit Radlader</t>
  </si>
  <si>
    <t>min</t>
  </si>
  <si>
    <t>Ø</t>
  </si>
  <si>
    <t>max.</t>
  </si>
  <si>
    <t>Mähen mit Großflächenmähwerk o. Selbstfahrer</t>
  </si>
  <si>
    <t>Kreiseln/Zetten mit Großflächenkreisel (10-14 m)</t>
  </si>
  <si>
    <t>12-14,0 m AB</t>
  </si>
  <si>
    <t>7,0-8,50 m AB</t>
  </si>
  <si>
    <t>Schwaden:</t>
  </si>
  <si>
    <t>zusätzlich Siloverteiler</t>
  </si>
  <si>
    <t>Silomais Häckseln (6-Reiher)</t>
  </si>
  <si>
    <t>GPS Häckseln</t>
  </si>
  <si>
    <t>65 €/ha</t>
  </si>
  <si>
    <t>Pflügen (4-Schar)</t>
  </si>
  <si>
    <t>Wiesenegge 6 m</t>
  </si>
  <si>
    <t>Wiesenwalze 3,0 m</t>
  </si>
  <si>
    <t>KW</t>
  </si>
  <si>
    <t>Direktkosten</t>
  </si>
  <si>
    <t>Kosten der Arbeitserledigung</t>
  </si>
  <si>
    <t>Schwergrubber 3 m</t>
  </si>
  <si>
    <t>Diesel</t>
  </si>
  <si>
    <t>l/h</t>
  </si>
  <si>
    <t>€/h</t>
  </si>
  <si>
    <t>var. Kosten</t>
  </si>
  <si>
    <t>Einh.</t>
  </si>
  <si>
    <t>€/Einh.</t>
  </si>
  <si>
    <t>Arbeits-</t>
  </si>
  <si>
    <r>
      <t>(Grassilage in Fremdmechanisierung)</t>
    </r>
    <r>
      <rPr>
        <b/>
        <vertAlign val="superscript"/>
        <sz val="18"/>
        <rFont val="Arial"/>
        <family val="2"/>
      </rPr>
      <t>1)</t>
    </r>
  </si>
  <si>
    <t>1) 100 ha-Betrieb unterstellt (s. "Festkosten Masch-Geb"),</t>
  </si>
  <si>
    <t>Feste Gebäudekosten (Afa, Zins, Unt.), €/ha (m. MwSt.)</t>
  </si>
  <si>
    <t>(ohne Gebäude für Tierhaltung</t>
  </si>
  <si>
    <t>tung</t>
  </si>
  <si>
    <r>
      <t>kosten</t>
    </r>
    <r>
      <rPr>
        <sz val="10"/>
        <rFont val="Arial"/>
        <family val="2"/>
      </rPr>
      <t xml:space="preserve"> (fest,</t>
    </r>
  </si>
  <si>
    <t xml:space="preserve"> und ohne Futterlagerraum)</t>
  </si>
  <si>
    <t>% vom</t>
  </si>
  <si>
    <t>m. MwSt.)</t>
  </si>
  <si>
    <t>Anschaffw.</t>
  </si>
  <si>
    <t>€/Jahr</t>
  </si>
  <si>
    <t>Maschinenhalle</t>
  </si>
  <si>
    <t>Sonstige feste Spezial- und Gemeinkosten</t>
  </si>
  <si>
    <t>Festkosten Lagerraum Futter</t>
  </si>
  <si>
    <t>Zinssatz (i) %:</t>
  </si>
  <si>
    <t>Anschaffungswert</t>
  </si>
  <si>
    <t>Nutzgs-</t>
  </si>
  <si>
    <t>Fest-</t>
  </si>
  <si>
    <t>Unterhaltung in %:</t>
  </si>
  <si>
    <t>ohne MwSt.</t>
  </si>
  <si>
    <t>mit MwSt.</t>
  </si>
  <si>
    <t>kosten</t>
  </si>
  <si>
    <t>Gebäude / Einrichtung</t>
  </si>
  <si>
    <t>€/m³</t>
  </si>
  <si>
    <t>TM-gehalte im Ernteprodukt in %</t>
  </si>
  <si>
    <t>dt FM/ha</t>
  </si>
  <si>
    <t>Lagerraumbedarf</t>
  </si>
  <si>
    <t>m³/ha</t>
  </si>
  <si>
    <t xml:space="preserve">Nährstoffeinheiten/ha (netto): </t>
  </si>
  <si>
    <t>Arbeitsgang</t>
  </si>
  <si>
    <t>zeit</t>
  </si>
  <si>
    <t>Erläuterungen zum Verfahren:</t>
  </si>
  <si>
    <t xml:space="preserve"> ha</t>
  </si>
  <si>
    <t>Summenspalte</t>
  </si>
  <si>
    <t>(Fehlermeldung, wenn Summe =größer 1)</t>
  </si>
  <si>
    <t>Betreuung Portionsweide pauschal</t>
  </si>
  <si>
    <t>Spalte für</t>
  </si>
  <si>
    <t>Berechnungsgrundlagen</t>
  </si>
  <si>
    <t>Verfahren:</t>
  </si>
  <si>
    <r>
      <t>Summe Kosten</t>
    </r>
    <r>
      <rPr>
        <sz val="9"/>
        <rFont val="Arial"/>
        <family val="2"/>
      </rPr>
      <t xml:space="preserve"> (var. u. feste Kosten, Zins- und Lohnansatz) </t>
    </r>
    <r>
      <rPr>
        <sz val="8"/>
        <rFont val="Arial"/>
        <family val="2"/>
      </rPr>
      <t>(Z.19+Z.23+Z.36)</t>
    </r>
  </si>
  <si>
    <t>=</t>
  </si>
  <si>
    <t>(Z.46-Z.31-Z.33)</t>
  </si>
  <si>
    <r>
      <t>Kalk. Betriebszweigergebnis</t>
    </r>
    <r>
      <rPr>
        <b/>
        <sz val="11"/>
        <rFont val="Arial"/>
        <family val="2"/>
      </rPr>
      <t xml:space="preserve"> </t>
    </r>
    <r>
      <rPr>
        <sz val="9"/>
        <rFont val="Arial"/>
        <family val="2"/>
      </rPr>
      <t>(Z.37-Z.38)</t>
    </r>
  </si>
  <si>
    <r>
      <t>Summe (€/m</t>
    </r>
    <r>
      <rPr>
        <b/>
        <vertAlign val="superscript"/>
        <sz val="12"/>
        <rFont val="Arial"/>
        <family val="2"/>
      </rPr>
      <t>3</t>
    </r>
    <r>
      <rPr>
        <b/>
        <sz val="12"/>
        <rFont val="Arial"/>
        <family val="2"/>
      </rPr>
      <t>)</t>
    </r>
  </si>
  <si>
    <r>
      <t>Direktkosten</t>
    </r>
    <r>
      <rPr>
        <b/>
        <sz val="10"/>
        <rFont val="Arial"/>
        <family val="2"/>
      </rPr>
      <t xml:space="preserve"> </t>
    </r>
    <r>
      <rPr>
        <sz val="10"/>
        <rFont val="Arial"/>
        <family val="2"/>
      </rPr>
      <t>(Z.11 bis Z. 15 + Z.23)</t>
    </r>
  </si>
  <si>
    <r>
      <t xml:space="preserve">Kosten für Fläche und Zahlungsanspruch </t>
    </r>
    <r>
      <rPr>
        <sz val="11"/>
        <rFont val="Arial"/>
        <family val="2"/>
      </rPr>
      <t>(Pachtansatz)</t>
    </r>
  </si>
  <si>
    <r>
      <t>Variable Maschinenkosten</t>
    </r>
    <r>
      <rPr>
        <sz val="12"/>
        <rFont val="Arial"/>
        <family val="2"/>
      </rPr>
      <t xml:space="preserve"> (eigene Masch.) </t>
    </r>
  </si>
  <si>
    <t>Akh/ha</t>
  </si>
  <si>
    <t>var Makost €/ha</t>
  </si>
  <si>
    <t>Gerät / Arbeitsgang</t>
  </si>
  <si>
    <t>je Arb.gang</t>
  </si>
  <si>
    <t>Arbgäng.</t>
  </si>
  <si>
    <t>Zuteilung auf einzelne Nutzungen</t>
  </si>
  <si>
    <t xml:space="preserve">Rundballen </t>
  </si>
  <si>
    <r>
      <t>€/10 MJ NEL bzw. /m</t>
    </r>
    <r>
      <rPr>
        <b/>
        <vertAlign val="superscript"/>
        <sz val="10"/>
        <rFont val="Arial"/>
        <family val="2"/>
      </rPr>
      <t>3</t>
    </r>
    <r>
      <rPr>
        <b/>
        <sz val="10"/>
        <rFont val="Arial"/>
        <family val="2"/>
      </rPr>
      <t xml:space="preserve"> Methan</t>
    </r>
  </si>
  <si>
    <t>in kg/dt TM</t>
  </si>
  <si>
    <t>vor Feld-</t>
  </si>
  <si>
    <t xml:space="preserve">   Sonstige Festkosten</t>
  </si>
  <si>
    <t>Betreuung Standweide pauschal</t>
  </si>
  <si>
    <t>Rotationsmähwerk(Heck-) (mit Aufbereiter) 2,8 m</t>
  </si>
  <si>
    <t>Schlepper 54 KW Allrad</t>
  </si>
  <si>
    <t>Schlepper 67 KW Allrad</t>
  </si>
  <si>
    <t xml:space="preserve">   Feste Maschinenkosten (bei Eigenmech.)</t>
  </si>
  <si>
    <t>Konservierungsv.</t>
  </si>
  <si>
    <r>
      <t>Abfuhr</t>
    </r>
    <r>
      <rPr>
        <sz val="11"/>
        <rFont val="Arial"/>
        <family val="2"/>
      </rPr>
      <t/>
    </r>
  </si>
  <si>
    <t>TM</t>
  </si>
  <si>
    <t>FM</t>
  </si>
  <si>
    <t>dt/ha</t>
  </si>
  <si>
    <r>
      <t>Futterlieferung</t>
    </r>
    <r>
      <rPr>
        <sz val="11"/>
        <rFont val="Arial"/>
        <family val="2"/>
      </rPr>
      <t xml:space="preserve"> Hauptprodukt (netto, Silage)</t>
    </r>
  </si>
  <si>
    <t xml:space="preserve">         MJ NEL/kg TM</t>
  </si>
  <si>
    <t xml:space="preserve">         MJ ME/kg TM</t>
  </si>
  <si>
    <t xml:space="preserve">         10 MJ NEL/ha</t>
  </si>
  <si>
    <t xml:space="preserve">         10 MJ ME/ha</t>
  </si>
  <si>
    <t>Saatgut</t>
  </si>
  <si>
    <t>Einh./ha</t>
  </si>
  <si>
    <t>Hauptfrucht</t>
  </si>
  <si>
    <t xml:space="preserve">Abfuhr kg/dt </t>
  </si>
  <si>
    <t>m. Mwst.</t>
  </si>
  <si>
    <t>Zuteilung auf einzelne Nutzungen  €/ha</t>
  </si>
  <si>
    <t>Festlegungsdauer Monate:</t>
  </si>
  <si>
    <r>
      <t>Ertrag / Aufwuchs</t>
    </r>
    <r>
      <rPr>
        <sz val="13"/>
        <rFont val="Arial"/>
        <family val="2"/>
      </rPr>
      <t xml:space="preserve"> (brutto)</t>
    </r>
  </si>
  <si>
    <t>Futterlieferung Haupt-</t>
  </si>
  <si>
    <t>Nährstoffeinheiten</t>
  </si>
  <si>
    <r>
      <t>Lagerraumbedarf</t>
    </r>
    <r>
      <rPr>
        <sz val="12"/>
        <rFont val="Arial"/>
        <family val="2"/>
      </rPr>
      <t xml:space="preserve"> (Abfuhr)</t>
    </r>
  </si>
  <si>
    <t>(wird nicht gedruckt)</t>
  </si>
  <si>
    <t>Tabelle / Infofelder</t>
  </si>
  <si>
    <t>Feld (z. B. Bröckelv.)</t>
  </si>
  <si>
    <t>Einkauf Saatgut, Rückkauf Cobs....</t>
  </si>
  <si>
    <t xml:space="preserve">   Kosten für Fläche und Zahlungsanspruch (Pachtansatz)</t>
  </si>
  <si>
    <t>Zu/Abschläge kg/ha</t>
  </si>
  <si>
    <r>
      <t>Variable Maschinenkosten</t>
    </r>
    <r>
      <rPr>
        <sz val="11"/>
        <rFont val="Arial"/>
        <family val="2"/>
      </rPr>
      <t xml:space="preserve"> (eigene Masch.)</t>
    </r>
  </si>
  <si>
    <t>Schlepp.</t>
  </si>
  <si>
    <t>Arbg./ha</t>
  </si>
  <si>
    <t>AKh/</t>
  </si>
  <si>
    <t>fest</t>
  </si>
  <si>
    <t>var.</t>
  </si>
  <si>
    <t>Maschine / Arbeitsgang</t>
  </si>
  <si>
    <t>Hagelversicherung</t>
  </si>
  <si>
    <t>Versicherungswert</t>
  </si>
  <si>
    <t>je 100 €</t>
  </si>
  <si>
    <t>Sonstige variable Kosten</t>
  </si>
  <si>
    <t>Leistungsniveau</t>
  </si>
  <si>
    <r>
      <t xml:space="preserve">Ertrag / Aufwuchs </t>
    </r>
    <r>
      <rPr>
        <sz val="13"/>
        <rFont val="Arial"/>
        <family val="2"/>
      </rPr>
      <t>(brutto)</t>
    </r>
  </si>
  <si>
    <r>
      <t>produkt</t>
    </r>
    <r>
      <rPr>
        <sz val="13"/>
        <rFont val="Arial"/>
        <family val="2"/>
      </rPr>
      <t xml:space="preserve"> (netto, Silage)</t>
    </r>
  </si>
  <si>
    <t>Begrünung</t>
  </si>
  <si>
    <t>Häckseln im Lohn</t>
  </si>
  <si>
    <t>Aussaat im Lohn</t>
  </si>
  <si>
    <t>Pflanzenschutz pauschal</t>
  </si>
  <si>
    <t>variable Kosten</t>
  </si>
  <si>
    <t>Deckungsbeitrag</t>
  </si>
  <si>
    <t>Direktsämaschine 3 m</t>
  </si>
  <si>
    <t>Leistungen</t>
  </si>
  <si>
    <t>bei Abfuhr bzw. bei Silage, Heu im Lager</t>
  </si>
  <si>
    <t>€/dt TM</t>
  </si>
  <si>
    <t>Konservierungsverluste</t>
  </si>
  <si>
    <t>Heu (Warmbelüftung)</t>
  </si>
  <si>
    <t>Heu (Kaltbelüftung)</t>
  </si>
  <si>
    <t>Heu (Bodenheu)</t>
  </si>
  <si>
    <t>optimal</t>
  </si>
  <si>
    <t>18</t>
  </si>
  <si>
    <t>22</t>
  </si>
  <si>
    <t>35 - 40</t>
  </si>
  <si>
    <t>&gt;40</t>
  </si>
  <si>
    <t>86</t>
  </si>
  <si>
    <t>&gt;90</t>
  </si>
  <si>
    <t>30 - 33</t>
  </si>
  <si>
    <t>&gt;35</t>
  </si>
  <si>
    <t>33 - 37</t>
  </si>
  <si>
    <t>Raumgewichte verschiedener Futterarten</t>
  </si>
  <si>
    <t>Grassilage / GPS / Kleegrassilage</t>
  </si>
  <si>
    <t>TM-</t>
  </si>
  <si>
    <r>
      <t>Verdichtung</t>
    </r>
    <r>
      <rPr>
        <sz val="10"/>
        <rFont val="Arial"/>
        <family val="2"/>
      </rPr>
      <t xml:space="preserve"> (anzustreben: hoch - s. hoch)</t>
    </r>
  </si>
  <si>
    <t>Gehalt</t>
  </si>
  <si>
    <t>ohne</t>
  </si>
  <si>
    <t>s. hoch</t>
  </si>
  <si>
    <t>kg TM/m³</t>
  </si>
  <si>
    <t>%</t>
  </si>
  <si>
    <t>Raumgewicht in dt FM/m³</t>
  </si>
  <si>
    <t>Praxis-üblicher Bereich</t>
  </si>
  <si>
    <t>Jahr:</t>
  </si>
  <si>
    <t>Prämien aus Zahlungsansprächen</t>
  </si>
  <si>
    <t>Faktor m³ Biogasgülle / t Substrat:</t>
  </si>
  <si>
    <t>(Summe Z.16 bis 18,30,32)</t>
  </si>
  <si>
    <t>GPS</t>
  </si>
  <si>
    <t>Nutzungen</t>
  </si>
  <si>
    <t>Ertragsanteil je Nutzung in %</t>
  </si>
  <si>
    <t>sehr gut</t>
  </si>
  <si>
    <t>gut</t>
  </si>
  <si>
    <t>Grünfutter</t>
  </si>
  <si>
    <r>
      <t>Ackerfutter</t>
    </r>
    <r>
      <rPr>
        <b/>
        <vertAlign val="superscript"/>
        <sz val="12"/>
        <rFont val="Arial"/>
        <family val="2"/>
      </rPr>
      <t>1)</t>
    </r>
    <r>
      <rPr>
        <b/>
        <sz val="12"/>
        <rFont val="Arial"/>
        <family val="2"/>
      </rPr>
      <t>:</t>
    </r>
  </si>
  <si>
    <t>Fruchtart</t>
  </si>
  <si>
    <t>Kleegras</t>
  </si>
  <si>
    <r>
      <t>Kosten der Arbeitserledigung</t>
    </r>
    <r>
      <rPr>
        <sz val="13"/>
        <rFont val="Arial"/>
        <family val="2"/>
      </rPr>
      <t xml:space="preserve"> </t>
    </r>
  </si>
  <si>
    <r>
      <t xml:space="preserve">Summe Festkosten inkl. Lohnansatz </t>
    </r>
    <r>
      <rPr>
        <sz val="8"/>
        <rFont val="Arial"/>
        <family val="2"/>
      </rPr>
      <t>(Z.30 bis Z.35)</t>
    </r>
  </si>
  <si>
    <t>vor Ähren- / Rispenschieben</t>
  </si>
  <si>
    <t>Verfahrensspezifische Ausgleichsleistungen</t>
  </si>
  <si>
    <t>Flächengrundprämien aus Zahlungsansprüchen</t>
  </si>
  <si>
    <t>-  Zinsansatz Umlaufvermögen</t>
  </si>
  <si>
    <t>Ballen</t>
  </si>
  <si>
    <t>0,7-1,0</t>
  </si>
  <si>
    <t>55-60</t>
  </si>
  <si>
    <t>Schnittlänge</t>
  </si>
  <si>
    <t>lang</t>
  </si>
  <si>
    <t>kurz</t>
  </si>
  <si>
    <t>2,50 - 3,00</t>
  </si>
  <si>
    <t>3,00 - 4,00</t>
  </si>
  <si>
    <r>
      <t>Energiekonzentration in verschiedenen Futterarten</t>
    </r>
    <r>
      <rPr>
        <sz val="11"/>
        <rFont val="Arial"/>
        <family val="2"/>
      </rPr>
      <t xml:space="preserve"> (nach Abzug Konservierungsverluste)</t>
    </r>
  </si>
  <si>
    <t>Preis Diesel aktuell  in €/l ohne. Mwst.</t>
  </si>
  <si>
    <t xml:space="preserve">Futterart / </t>
  </si>
  <si>
    <r>
      <t>VOS</t>
    </r>
    <r>
      <rPr>
        <b/>
        <vertAlign val="superscript"/>
        <sz val="10"/>
        <rFont val="Arial"/>
        <family val="2"/>
      </rPr>
      <t>1)</t>
    </r>
  </si>
  <si>
    <t>Energiekonzentration MJ NEL/kg TM</t>
  </si>
  <si>
    <t>Wuchsstadium</t>
  </si>
  <si>
    <t>Grün</t>
  </si>
  <si>
    <t>schlecht</t>
  </si>
  <si>
    <t>Dauergrünland / Kleegras</t>
  </si>
  <si>
    <t>1. Aufwuchs</t>
  </si>
  <si>
    <t>Folgeaufwüchse</t>
  </si>
  <si>
    <t>unter 4 Wochen</t>
  </si>
  <si>
    <t>Summe variable Kosten</t>
  </si>
  <si>
    <t>4 - 6 Wochen</t>
  </si>
  <si>
    <t>7 - 9 Wochen</t>
  </si>
  <si>
    <t>über 9 Wochen</t>
  </si>
  <si>
    <t>Sonstiges Ackerfutter</t>
  </si>
  <si>
    <t>73-75</t>
  </si>
  <si>
    <r>
      <t>Kalk. Betriebszweigergebnis</t>
    </r>
    <r>
      <rPr>
        <b/>
        <sz val="10"/>
        <rFont val="Arial"/>
        <family val="2"/>
      </rPr>
      <t xml:space="preserve"> </t>
    </r>
    <r>
      <rPr>
        <sz val="10"/>
        <rFont val="Arial"/>
        <family val="2"/>
      </rPr>
      <t xml:space="preserve"> (Z.39+Z.41)</t>
    </r>
  </si>
  <si>
    <t xml:space="preserve">   Lohnmaschinen / Lohnarbeit</t>
  </si>
  <si>
    <t>Zaunkosten Standweide/ha</t>
  </si>
  <si>
    <t>Se/Kh: eigene Schätzung, 27.04.2010</t>
  </si>
  <si>
    <t>Kh: Schätzung aus Fachartikeln 27.04.2010</t>
  </si>
  <si>
    <t>Nährstoffgehalte Rindergülle (kg/m3)</t>
  </si>
  <si>
    <t>überständig</t>
  </si>
  <si>
    <t>anrechenbare Nährstoffgehalte Rindergülle (kg/m3 bei 7,5% TS)</t>
  </si>
  <si>
    <t>Stickstoff</t>
  </si>
  <si>
    <t>Silo-</t>
  </si>
  <si>
    <t>Futter-</t>
  </si>
  <si>
    <t>sonst.</t>
  </si>
  <si>
    <t>Acker-</t>
  </si>
  <si>
    <t>Fläche</t>
  </si>
  <si>
    <t xml:space="preserve"> schaftsdüngerausbringung</t>
  </si>
  <si>
    <t>(ohne MwSt.)</t>
  </si>
  <si>
    <t>arbeit</t>
  </si>
  <si>
    <t>Gülleausbr. (wenn Güllewert&gt;0)</t>
  </si>
  <si>
    <t>Gülleausbr. (wenn Nährstoffwert kostenmindernd)</t>
  </si>
  <si>
    <t>Summe Prämien</t>
  </si>
  <si>
    <t>Summe Leistungen (ohne Prämien)</t>
  </si>
  <si>
    <t>TM - Gehalt:</t>
  </si>
  <si>
    <t>m3/ha</t>
  </si>
  <si>
    <t>Lagerraumkosten</t>
  </si>
  <si>
    <t>€/m3</t>
  </si>
  <si>
    <t>dt/m3</t>
  </si>
  <si>
    <t>Betriebsprämie (ZA)</t>
  </si>
  <si>
    <t>Prämien insgesamt</t>
  </si>
  <si>
    <t>Prämien</t>
  </si>
  <si>
    <t>GAP-P.</t>
  </si>
  <si>
    <t>MEKA, AZL.</t>
  </si>
  <si>
    <t xml:space="preserve"> + Prämien</t>
  </si>
  <si>
    <r>
      <t xml:space="preserve">Deckungsbeitrag </t>
    </r>
    <r>
      <rPr>
        <b/>
        <sz val="10"/>
        <rFont val="Arial"/>
        <family val="2"/>
      </rPr>
      <t xml:space="preserve"> mit Prämien, nach Zinsansatz            </t>
    </r>
  </si>
  <si>
    <t>ohne Prämien</t>
  </si>
  <si>
    <t>+ Prämien</t>
  </si>
  <si>
    <t>mit Prämien</t>
  </si>
  <si>
    <t>bei</t>
  </si>
  <si>
    <t xml:space="preserve"> %Wirkungsgrad</t>
  </si>
  <si>
    <r>
      <t xml:space="preserve">Summe Kosten abzgl. Prämien </t>
    </r>
    <r>
      <rPr>
        <b/>
        <vertAlign val="superscript"/>
        <sz val="13"/>
        <rFont val="Arial"/>
        <family val="2"/>
      </rPr>
      <t>1)</t>
    </r>
  </si>
  <si>
    <t xml:space="preserve">1) Vollkostenansatz langfristig               2) ohne Lagerraumkosten, wenn diese  bei den Stallbaukosten berücksichtigt werden </t>
  </si>
  <si>
    <t>Sonstige Prämien (MEKA, Ausgleichszulage...)</t>
  </si>
  <si>
    <r>
      <t xml:space="preserve">Deckungsbeitrag </t>
    </r>
    <r>
      <rPr>
        <b/>
        <sz val="10"/>
        <rFont val="Arial"/>
        <family val="2"/>
      </rPr>
      <t>ohne Prämien</t>
    </r>
  </si>
  <si>
    <r>
      <t>Deckungsbeitrag</t>
    </r>
    <r>
      <rPr>
        <b/>
        <sz val="11"/>
        <rFont val="Arial"/>
        <family val="2"/>
      </rPr>
      <t xml:space="preserve"> mit Prämien,  nach Zinsansatz</t>
    </r>
  </si>
  <si>
    <r>
      <t>Summe Kosten abzgl. Prämien</t>
    </r>
    <r>
      <rPr>
        <b/>
        <vertAlign val="superscript"/>
        <sz val="13"/>
        <rFont val="Arial"/>
        <family val="2"/>
      </rPr>
      <t>1)</t>
    </r>
    <r>
      <rPr>
        <b/>
        <sz val="13"/>
        <rFont val="Arial"/>
        <family val="2"/>
      </rPr>
      <t xml:space="preserve"> </t>
    </r>
  </si>
  <si>
    <t>% Wirkungsgrad</t>
  </si>
  <si>
    <r>
      <t xml:space="preserve">Summe Kosten ohne Lagerraum abzgl. Prämien </t>
    </r>
    <r>
      <rPr>
        <b/>
        <vertAlign val="superscript"/>
        <sz val="13"/>
        <rFont val="Arial"/>
        <family val="2"/>
      </rPr>
      <t>2)</t>
    </r>
  </si>
  <si>
    <t>MEKA, AZL</t>
  </si>
  <si>
    <t>GAP-Prämie</t>
  </si>
  <si>
    <t>€/kWh-el</t>
  </si>
  <si>
    <t xml:space="preserve">1) Vollkostenansatz langfristig    2) ohne Lagerraumkosten, wenn diese  bei den (Stall - ) baukosten berücksichtigt werden </t>
  </si>
  <si>
    <t>Landsberger Gemenge</t>
  </si>
  <si>
    <r>
      <t xml:space="preserve">Summe variable Kosten </t>
    </r>
    <r>
      <rPr>
        <sz val="9"/>
        <rFont val="Arial"/>
        <family val="2"/>
      </rPr>
      <t>(Summe Z.14 bis Z.21)</t>
    </r>
  </si>
  <si>
    <t>(Z.23+Z.24- Z.25)</t>
  </si>
  <si>
    <r>
      <t>Summe Festkosten inkl. Lohnansatz</t>
    </r>
    <r>
      <rPr>
        <b/>
        <sz val="10"/>
        <rFont val="Arial"/>
        <family val="2"/>
      </rPr>
      <t xml:space="preserve"> </t>
    </r>
    <r>
      <rPr>
        <sz val="9"/>
        <rFont val="Arial"/>
        <family val="2"/>
      </rPr>
      <t>(S. Z.31 bis Z.36)</t>
    </r>
  </si>
  <si>
    <r>
      <t>Summe Kosten</t>
    </r>
    <r>
      <rPr>
        <sz val="9"/>
        <rFont val="Arial"/>
        <family val="2"/>
      </rPr>
      <t xml:space="preserve"> (var. u. Festkosten, Zins- und Lohnansatz) (Z.22+Z.25+Z.37)</t>
    </r>
  </si>
  <si>
    <r>
      <t>Kalk. Betriebszweigergebnis</t>
    </r>
    <r>
      <rPr>
        <sz val="10"/>
        <rFont val="Arial"/>
        <family val="2"/>
      </rPr>
      <t xml:space="preserve"> (</t>
    </r>
    <r>
      <rPr>
        <u/>
        <sz val="10"/>
        <rFont val="Arial"/>
        <family val="2"/>
      </rPr>
      <t>ohne</t>
    </r>
    <r>
      <rPr>
        <sz val="10"/>
        <rFont val="Arial"/>
        <family val="2"/>
      </rPr>
      <t xml:space="preserve"> Prämien) (Z.38 - Z. 39)</t>
    </r>
  </si>
  <si>
    <r>
      <t>Kalk. Betriebszweigergebnis</t>
    </r>
    <r>
      <rPr>
        <sz val="10"/>
        <rFont val="Arial"/>
        <family val="2"/>
      </rPr>
      <t xml:space="preserve"> (mit Prämien) (Z.40 + Z.41)</t>
    </r>
  </si>
  <si>
    <t xml:space="preserve"> = (Z.39 - Z. 41)</t>
  </si>
  <si>
    <t xml:space="preserve"> (Z. 43-Z.32)</t>
  </si>
  <si>
    <r>
      <t>Direktkosten</t>
    </r>
    <r>
      <rPr>
        <b/>
        <sz val="9"/>
        <rFont val="Arial"/>
        <family val="2"/>
      </rPr>
      <t xml:space="preserve"> </t>
    </r>
    <r>
      <rPr>
        <sz val="9"/>
        <rFont val="Arial"/>
        <family val="2"/>
      </rPr>
      <t>(Z.14 bis Z.18 + Z.25)</t>
    </r>
  </si>
  <si>
    <r>
      <t xml:space="preserve">Kosten der Arbeitserledigung </t>
    </r>
    <r>
      <rPr>
        <sz val="9"/>
        <rFont val="Arial"/>
        <family val="2"/>
      </rPr>
      <t>(Summe Z.19-21,31,33)</t>
    </r>
  </si>
  <si>
    <t>Masch.kost.(feste, variable, Lohnmasch.),var. Lohnkost.,Lohnansatz</t>
  </si>
  <si>
    <r>
      <t xml:space="preserve">Düngung </t>
    </r>
    <r>
      <rPr>
        <sz val="10"/>
        <rFont val="Arial"/>
        <family val="2"/>
      </rPr>
      <t>(Nährstoffabfuhr abzgl. Gärrestrücklieferung)</t>
    </r>
  </si>
  <si>
    <r>
      <t>Summe Kosten ohne Lagerraum abzgl. Prämien</t>
    </r>
    <r>
      <rPr>
        <b/>
        <vertAlign val="superscript"/>
        <sz val="14"/>
        <rFont val="Arial Narrow"/>
        <family val="2"/>
      </rPr>
      <t xml:space="preserve"> 2)</t>
    </r>
  </si>
  <si>
    <r>
      <t xml:space="preserve">Deckungsbeitrag </t>
    </r>
    <r>
      <rPr>
        <sz val="12"/>
        <rFont val="Arial"/>
        <family val="2"/>
      </rPr>
      <t>(ohne Prämien, ohne Zinsansatz)</t>
    </r>
  </si>
  <si>
    <t xml:space="preserve">  + Prämien</t>
  </si>
  <si>
    <r>
      <t>Deckungsbeitrag</t>
    </r>
    <r>
      <rPr>
        <b/>
        <sz val="12"/>
        <rFont val="Arial"/>
        <family val="2"/>
      </rPr>
      <t xml:space="preserve"> </t>
    </r>
    <r>
      <rPr>
        <sz val="12"/>
        <rFont val="Arial"/>
        <family val="2"/>
      </rPr>
      <t>(inkl. Prämien und Zinsansatz)</t>
    </r>
  </si>
  <si>
    <t xml:space="preserve">kalk. Betriebszweigergebnis ohne Prämien </t>
  </si>
  <si>
    <t xml:space="preserve">+ Prämien </t>
  </si>
  <si>
    <t xml:space="preserve">kalk. Betriebszweigergebnis inkl. Prämien </t>
  </si>
  <si>
    <t>Summe Kosten abzgl. aller Prämien</t>
  </si>
  <si>
    <t>Summe Kosten (abzgl. aller Prämien) ohne</t>
  </si>
  <si>
    <t>Lagerraum</t>
  </si>
  <si>
    <t>Schlepper 102 KW Allrad</t>
  </si>
  <si>
    <t>Wasserfaß Weide 4000 l</t>
  </si>
  <si>
    <t>Mulchgerät -Schlegelmulcher 2m</t>
  </si>
  <si>
    <t>Präparaterückenspritze 5m, 20l, 2l/min</t>
  </si>
  <si>
    <t>Schlepper 41-48 kW, Allrad</t>
  </si>
  <si>
    <t>Gemarkungs LVZ bis 14,9</t>
  </si>
  <si>
    <t>Gemarkungs LVZ 15,0 – 15,9</t>
  </si>
  <si>
    <t>Gemarkungs LVZ 16,0 – 16,9</t>
  </si>
  <si>
    <t>Gemarkungs LVZ 17,0 – 17,9</t>
  </si>
  <si>
    <t>Gemarkungs LVZ 18,0 – 18,9</t>
  </si>
  <si>
    <t>Gemarkungs LVZ 19,0 – 19,9</t>
  </si>
  <si>
    <t>Gemarkungs LVZ 20,0 – 20,9</t>
  </si>
  <si>
    <t>Gemarkungs LVZ 21,0 – 21,9</t>
  </si>
  <si>
    <t>Gemarkungs LVZ 22,0 – 22,9</t>
  </si>
  <si>
    <t>Gemarkungs LVZ 23,0 – 23,9</t>
  </si>
  <si>
    <t>Gemarkungs LVZ ab 24,0</t>
  </si>
  <si>
    <t>Rüben laden mit Frontlader</t>
  </si>
  <si>
    <t>Rüben zerkleinern, 65 t/ha FM (Rüben-Cutter, o.ä.)</t>
  </si>
  <si>
    <t xml:space="preserve">Striegel 9m </t>
  </si>
  <si>
    <t>Futterrüben (masse)</t>
  </si>
  <si>
    <t>tm</t>
  </si>
  <si>
    <t>tm gps</t>
  </si>
  <si>
    <t>Leguminosen Gemenge abfrierend</t>
  </si>
  <si>
    <t>Ausaat Ende August/September,Ernte Ende Mai/Juni als Silage+ 2. schnitt</t>
  </si>
  <si>
    <t>Kleegras grasbetont Silage</t>
  </si>
  <si>
    <t>Striegel 9m</t>
  </si>
  <si>
    <t>aus marktfrücht Öko 2013</t>
  </si>
  <si>
    <t>auch bei Mafrü übernehmen !</t>
  </si>
  <si>
    <t>Einzelkornsägerät</t>
  </si>
  <si>
    <t>nachÖL S165 und Maschring 13/14</t>
  </si>
  <si>
    <t>Rüben Transport 65 t Fm/ha  (13 t Anhänger)</t>
  </si>
  <si>
    <t>60 €/Akh</t>
  </si>
  <si>
    <t>80 €/AKh</t>
  </si>
  <si>
    <t>60 €/AKh</t>
  </si>
  <si>
    <t>100 €/Akh</t>
  </si>
  <si>
    <t>160 €/Akh</t>
  </si>
  <si>
    <t>160 €/AKh</t>
  </si>
  <si>
    <t>15 €/Akh</t>
  </si>
  <si>
    <t>60 €/AKh u. Fahrzg.</t>
  </si>
  <si>
    <t>+90 €/Akh</t>
  </si>
  <si>
    <t>+90 €/AKh</t>
  </si>
  <si>
    <t>SAATGUTPREIS ohne MwSt.</t>
  </si>
  <si>
    <t>SAATSTÄRKE</t>
  </si>
  <si>
    <t>Grünroggen</t>
  </si>
  <si>
    <t>Hafer/ So.Wicke/ Sonnenblume</t>
  </si>
  <si>
    <t>Erbsen-Ackerbohnen-Gemenge</t>
  </si>
  <si>
    <t>Sommerwicke/Ölrettich/Phacelia/ Klee</t>
  </si>
  <si>
    <t>Camena Aktivhumus 97% Leguminosen</t>
  </si>
  <si>
    <t>Wickroggen</t>
  </si>
  <si>
    <t>Hohebucher Blühmischung</t>
  </si>
  <si>
    <t>Visselhöveder Insektenparadies  10% Leg</t>
  </si>
  <si>
    <t>Perserklee/ Phacelia</t>
  </si>
  <si>
    <t>Luzernegras</t>
  </si>
  <si>
    <t>Nachsaatmischung Heuwiese</t>
  </si>
  <si>
    <t>Nachsaatmischung (Mäh)weide</t>
  </si>
  <si>
    <t>Zwischenfrüchte und Gemenge</t>
  </si>
  <si>
    <t>LEL Berater + Abt.: 2:20.11.2012</t>
  </si>
  <si>
    <t>KTBL: Öko. Landbau 2010 S 220 u.a.</t>
  </si>
  <si>
    <t>Biolandhandelsgeselscahft Ba-Wü 2013</t>
  </si>
  <si>
    <t>DSV Ökosaatgut telefonische Auskunft 10. 7. 2013</t>
  </si>
  <si>
    <t>Futterweizen</t>
  </si>
  <si>
    <t>grobkörniges Leguminosen/Getreide Gemenge (hier Sommergerste Erbse) Saat April, Ernte als GPS durch Lohnunternehmer</t>
  </si>
  <si>
    <t>LFL :saatguteinsatz i m Grünland Feb.2013</t>
  </si>
  <si>
    <t>Nachsaat = bestandsveränderung=&gt; 20-25 kg Saatgut- spezielle Nachsaatmaschienen</t>
  </si>
  <si>
    <t>Übersaat Vorbeugung und Pflege keine weiteren Kosten geschieht durch Beimischung in Gülle oder Schneckenkornstreuer + Wiesenegge, mit Sämaschine oder von Hand!!!</t>
  </si>
  <si>
    <t>4,50 €/dt</t>
  </si>
  <si>
    <t>telefonische Auskunft Trocknung Gunzenhausen am 25.9.2013</t>
  </si>
  <si>
    <t>Kleegras kleebetont Grünfutter</t>
  </si>
  <si>
    <t>Bsp.: bei einem Gesamtjahresertrag zwischen 90-130 dt Cops / ha Bsp.: Luzerne</t>
  </si>
  <si>
    <t>bio-dyn. Präparate</t>
  </si>
  <si>
    <t>Frischfutterernte, eigenmechanisiert, Ladewagen 4t Nm,28 m³, keine Übersaat</t>
  </si>
  <si>
    <t>6,00 €/Stk</t>
  </si>
  <si>
    <t>16 €/Stk</t>
  </si>
  <si>
    <t>MR 2013/14</t>
  </si>
  <si>
    <t>N Zuschläge nach Naebi</t>
  </si>
  <si>
    <t>Näbi ertrag 53 t=106 dt TM</t>
  </si>
  <si>
    <t>185 kleebetont=1,75 kg N / dt TS</t>
  </si>
  <si>
    <t>Kleebetont 2,5 kg N/ dt TM</t>
  </si>
  <si>
    <t>KTBL Management 3,5 kg N/ je % Leguminosenanteil in dt Trockenmasse</t>
  </si>
  <si>
    <t>Saat bis Ende September Ernte ab Mitte Mai (Ährenschieben) als Frischfutter, eigene Mechanisierung</t>
  </si>
  <si>
    <t>Erträge ????</t>
  </si>
  <si>
    <t>angepasst an KTBL S.201</t>
  </si>
  <si>
    <t>Grünschnittroggen, Frisch</t>
  </si>
  <si>
    <t>f</t>
  </si>
  <si>
    <t>Auswahl</t>
  </si>
  <si>
    <t>Warntext</t>
  </si>
  <si>
    <t>Nur Auswahl Ja oder Nein zulässig</t>
  </si>
  <si>
    <t>bitte auswählen:</t>
  </si>
  <si>
    <t>Kleegras(Kleebetont)</t>
  </si>
  <si>
    <t>Kleegras (Grasbetont)</t>
  </si>
  <si>
    <t>Kleegras (Kleebetont)</t>
  </si>
  <si>
    <t>Silage Rundballen nur wickeln inkl. Folie</t>
  </si>
  <si>
    <r>
      <t xml:space="preserve">Kleegras grün </t>
    </r>
    <r>
      <rPr>
        <b/>
        <u/>
        <sz val="14"/>
        <rFont val="Arial"/>
        <family val="2"/>
      </rPr>
      <t>Klee</t>
    </r>
    <r>
      <rPr>
        <b/>
        <sz val="14"/>
        <rFont val="Arial"/>
        <family val="2"/>
      </rPr>
      <t xml:space="preserve">-betont </t>
    </r>
  </si>
  <si>
    <r>
      <t xml:space="preserve">Kleegras Silage </t>
    </r>
    <r>
      <rPr>
        <b/>
        <u/>
        <sz val="14"/>
        <rFont val="Arial"/>
        <family val="2"/>
      </rPr>
      <t>Gras</t>
    </r>
    <r>
      <rPr>
        <b/>
        <sz val="14"/>
        <rFont val="Arial"/>
        <family val="2"/>
      </rPr>
      <t xml:space="preserve">-betont </t>
    </r>
  </si>
  <si>
    <t xml:space="preserve">in 10 MJ NEL/ha </t>
  </si>
  <si>
    <t xml:space="preserve">in 10 MJ ME/ha </t>
  </si>
  <si>
    <t xml:space="preserve">Silomais </t>
  </si>
  <si>
    <t xml:space="preserve">Silomais, Aussaat und Ernte im Lohn, Silage im Flachsilo </t>
  </si>
  <si>
    <t>Abschleppen inkl. Übersaat  4,5m</t>
  </si>
  <si>
    <t>grasbetont 2,15 kg N/dt TM</t>
  </si>
  <si>
    <t>117 grasbetont,=1,10 kg N/dt TS</t>
  </si>
  <si>
    <t>KTBL Nährstoffentzug</t>
  </si>
  <si>
    <t xml:space="preserve">N Abfuhr NAEBI </t>
  </si>
  <si>
    <t xml:space="preserve"> Zuschläge</t>
  </si>
  <si>
    <t>KtbL 40 t FM = 80 dt TM bzw. 72 (luzerne)</t>
  </si>
  <si>
    <t>Luzerne rein 3,44</t>
  </si>
  <si>
    <t>Kalkulationsdaten</t>
  </si>
  <si>
    <t xml:space="preserve"> Hinweise</t>
  </si>
  <si>
    <t xml:space="preserve"> Übersicht</t>
  </si>
  <si>
    <t xml:space="preserve"> Grafik-(a)</t>
  </si>
  <si>
    <t>Erträge</t>
  </si>
  <si>
    <t>Ts-gehalt,Energie</t>
  </si>
  <si>
    <t>Arbeitsgänge</t>
  </si>
  <si>
    <t>Festk-Maschinen</t>
  </si>
  <si>
    <t>Grünf.3Nutz.(a)</t>
  </si>
  <si>
    <t>Grünf. 4 Nutz(a)</t>
  </si>
  <si>
    <t>GSilage 3Nutz(a)</t>
  </si>
  <si>
    <t>GSilage 4 Nutz.(a)</t>
  </si>
  <si>
    <t>GSBallen 3Nutz.(a)</t>
  </si>
  <si>
    <t>Grünf.3Nutz.(b)</t>
  </si>
  <si>
    <t>Grünf. 4 Nutz(b)</t>
  </si>
  <si>
    <t>GSilage 3Nutz(b)</t>
  </si>
  <si>
    <t>GSilage 4 Nutz.(b)</t>
  </si>
  <si>
    <t>GSBallen 3Nutz.(b)</t>
  </si>
  <si>
    <t xml:space="preserve"> GSBallen 4Nutz(b)</t>
  </si>
  <si>
    <t>Heu 2Nutz. (a)</t>
  </si>
  <si>
    <t>Heu 3Nutz(a)</t>
  </si>
  <si>
    <t>Weide ext(a)</t>
  </si>
  <si>
    <t>Weide int.(a)</t>
  </si>
  <si>
    <t>KGSilage(a)</t>
  </si>
  <si>
    <t>KGGrün(a)</t>
  </si>
  <si>
    <t>LuzerneGrün(a)</t>
  </si>
  <si>
    <t>Silomais(a)</t>
  </si>
  <si>
    <t>Heu 2Nutz. (b)</t>
  </si>
  <si>
    <t>Heu 3Nutz(b)</t>
  </si>
  <si>
    <t>Weide ext(b)</t>
  </si>
  <si>
    <t>Weide int.(b)</t>
  </si>
  <si>
    <t>KGGrün(b)</t>
  </si>
  <si>
    <t>KGSilage(b)</t>
  </si>
  <si>
    <t>LuzerneGrün(b)</t>
  </si>
  <si>
    <t>Silomais(b)</t>
  </si>
  <si>
    <t>GSBallen 4Nutz(a)</t>
  </si>
  <si>
    <t xml:space="preserve"> Tel. 07171 / 917-100  Fax 917-101  e-Mail: poststelle@LEL.bwl.de Vervielfältigung nur nach Rücksprache mit dem Herausgeber gestattet.</t>
  </si>
  <si>
    <t>Festk-LagerFläche</t>
  </si>
  <si>
    <t>MLF 16:3</t>
  </si>
  <si>
    <t>MJ NEL/dt FM</t>
  </si>
  <si>
    <t>Grünland</t>
  </si>
  <si>
    <t>3 Nutz. Fahrsilo</t>
  </si>
  <si>
    <t>4 Nutz. Fahrsilo</t>
  </si>
  <si>
    <t>2 Nutz. Heuballen</t>
  </si>
  <si>
    <t>3 Nutz. Heuballen</t>
  </si>
  <si>
    <t>3 Nutz. Grünf.</t>
  </si>
  <si>
    <t>4 Nutz. Grünf.</t>
  </si>
  <si>
    <t>3 Nutz. Siloballen</t>
  </si>
  <si>
    <t>4 Nutz. Siloballen</t>
  </si>
  <si>
    <t>1.Programmaufbau und Datei</t>
  </si>
  <si>
    <t>2.Stammdaten</t>
  </si>
  <si>
    <t>3. Eingaben in der Berechnungsgrundlage</t>
  </si>
  <si>
    <t>4. Informationen und Interpretationen zur Kostenrechnung</t>
  </si>
  <si>
    <t>FAKT</t>
  </si>
  <si>
    <t>FAKT (B3.1) Artenreiches GL 4 Kennarten ∆</t>
  </si>
  <si>
    <t>FAKT (B4) § 32 Biotope (extensive Nutzung) ∆</t>
  </si>
  <si>
    <t>FAKT (B3.2) Artenreiches GL 6 Kennarten ∆</t>
  </si>
  <si>
    <t>FAKT (B5) FFH Mähwiesen (extensive Nutzung) ∆</t>
  </si>
  <si>
    <t>FAKT (E 2.1) Brache mit Blühmischung ohne ÖVF ∆</t>
  </si>
  <si>
    <t>FAKT (B6) Messerbalkenschnitt nur zusätzlich B3, B4, o. B5 ∆</t>
  </si>
  <si>
    <t>FAKT (D2.2)Öko Dauerkulturen Beibehaltung</t>
  </si>
  <si>
    <t>FAKT (D2.1) Einführung (2 Jahre) Gartenbau</t>
  </si>
  <si>
    <t>FAKT (D2.1) Einführung (2 Jahre) Dauerkulturen</t>
  </si>
  <si>
    <t>FAKT (D2.2) Öko Gartenbau Beibehaltung</t>
  </si>
  <si>
    <t>FAKT(D 2.2) Öko Acker/ GL Beibehaltung</t>
  </si>
  <si>
    <t>FAKT (D2.1) Öko Einführung (2 Jahre) Acker/GL</t>
  </si>
  <si>
    <t>FAKT (E1.1) Begrünungsmaßnahmen</t>
  </si>
  <si>
    <t>FAKT (E1.2) Begrünungsmischungen im Acker-/Gartenbau</t>
  </si>
  <si>
    <t>MEKA</t>
  </si>
  <si>
    <t>Hier Erntejahr eintragen, für das alle Rechnungen erfolgen sollen</t>
  </si>
  <si>
    <r>
      <t>Zahlungsanspruch individuell</t>
    </r>
    <r>
      <rPr>
        <vertAlign val="superscript"/>
        <sz val="10"/>
        <rFont val="Arial"/>
        <family val="2"/>
      </rPr>
      <t xml:space="preserve"> 1)</t>
    </r>
  </si>
  <si>
    <t>Förderleistungen aus der 2. Säule (Förderung der ländlichen Entwicklung)</t>
  </si>
  <si>
    <r>
      <rPr>
        <b/>
        <sz val="12"/>
        <rFont val="Arial"/>
        <family val="2"/>
      </rPr>
      <t>ʘ</t>
    </r>
    <r>
      <rPr>
        <sz val="12"/>
        <rFont val="Arial"/>
        <family val="2"/>
      </rPr>
      <t xml:space="preserve"> für Dauergrünland und Ackerflächen auf denen Heu erzeugt wird</t>
    </r>
  </si>
  <si>
    <t>http://www.landwirtschaft-bw.info/pb/MLR.Foerderung,Lde/Startseite/Foerderwegweiser</t>
  </si>
  <si>
    <t>40 €/GV</t>
  </si>
  <si>
    <t xml:space="preserve">FAKT (G1.2) Sommerweideprämie -Ökokombination ¥ </t>
  </si>
  <si>
    <t>http://www.bauernverband.de/praemienschaetzer</t>
  </si>
  <si>
    <t>Zahlungsanspruch Ø</t>
  </si>
  <si>
    <t>1) hier kann der betriebsgrößenabhängig, angepasste ZA aufgeführt werden</t>
  </si>
  <si>
    <t>¥ wird dem Tierhaltungsverfahren angerechnet</t>
  </si>
  <si>
    <t>gezahlt wird die jeweils höhere Zuwendung</t>
  </si>
  <si>
    <r>
      <t xml:space="preserve">FAKT (A2) Silageverzicht im gesamten Betrieb (Heumilch) </t>
    </r>
    <r>
      <rPr>
        <b/>
        <sz val="12"/>
        <rFont val="Arial"/>
        <family val="2"/>
      </rPr>
      <t>ʘ</t>
    </r>
  </si>
  <si>
    <t>Direktzahlungen aus der 1. Säule (Landwirtschaft)</t>
  </si>
  <si>
    <r>
      <rPr>
        <b/>
        <sz val="20"/>
        <rFont val="Arial"/>
        <family val="2"/>
      </rPr>
      <t xml:space="preserve">                                       </t>
    </r>
    <r>
      <rPr>
        <b/>
        <sz val="24"/>
        <rFont val="Arial"/>
        <family val="2"/>
      </rPr>
      <t xml:space="preserve">    </t>
    </r>
    <r>
      <rPr>
        <b/>
        <u/>
        <sz val="24"/>
        <rFont val="Arial"/>
        <family val="2"/>
      </rPr>
      <t>A u s g l e i c h s l e i s t u n g e n</t>
    </r>
  </si>
  <si>
    <t>Maßnahmen</t>
  </si>
  <si>
    <r>
      <rPr>
        <b/>
        <sz val="14"/>
        <rFont val="Arial"/>
        <family val="2"/>
      </rPr>
      <t>∆</t>
    </r>
    <r>
      <rPr>
        <sz val="12"/>
        <rFont val="Arial"/>
        <family val="2"/>
      </rPr>
      <t xml:space="preserve"> Die Kombination mit D2 ist ausgeschlossen, </t>
    </r>
  </si>
  <si>
    <r>
      <t xml:space="preserve"> -AZL- Ausgleichszulagen für benachteiligte Gebiete in €/ha </t>
    </r>
    <r>
      <rPr>
        <b/>
        <u/>
        <vertAlign val="superscript"/>
        <sz val="14"/>
        <rFont val="Arial"/>
        <family val="2"/>
      </rPr>
      <t>2)</t>
    </r>
  </si>
  <si>
    <t>(a): Dateneingabe</t>
  </si>
  <si>
    <t xml:space="preserve">(b): Kostenrechnung </t>
  </si>
  <si>
    <t>Testfrucht(a)</t>
  </si>
  <si>
    <t>Testfrucht (b)</t>
  </si>
  <si>
    <r>
      <t>€/10 MJ NEL bzw /m</t>
    </r>
    <r>
      <rPr>
        <b/>
        <vertAlign val="superscript"/>
        <sz val="12"/>
        <rFont val="Arial"/>
        <family val="2"/>
      </rPr>
      <t>3</t>
    </r>
    <r>
      <rPr>
        <b/>
        <sz val="12"/>
        <rFont val="Arial"/>
        <family val="2"/>
      </rPr>
      <t xml:space="preserve"> Methan</t>
    </r>
  </si>
  <si>
    <t>Quellen:</t>
  </si>
  <si>
    <t xml:space="preserve">Allgemeine Orientierungswerte Futterbau </t>
  </si>
  <si>
    <t xml:space="preserve">NÄBI (2014): N bIndung </t>
  </si>
  <si>
    <t>KG (70:30)53 t FM -3,5 kg N je tFM</t>
  </si>
  <si>
    <t>KG (30:70)53 t FM -2,2 kg N je tFM</t>
  </si>
  <si>
    <t>Luzerne 53 t FM-5,7 kg N je t FM</t>
  </si>
  <si>
    <t>Luzerneg(70:30 53 t FM- 4 kg N je t FM</t>
  </si>
  <si>
    <t xml:space="preserve"> je 1 % Klee ca 3 kg N/ha (Trott et al 2004)</t>
  </si>
  <si>
    <t>mit häufigem Schnitt ist ein hoher Anteil Weißklee (20-30%) zu errecihen ( M. Elsäßer, 1999)</t>
  </si>
  <si>
    <t>ACKERFUTTER</t>
  </si>
  <si>
    <t xml:space="preserve"> -günstige Ertragslage</t>
  </si>
  <si>
    <t>Kleegras(30:70)</t>
  </si>
  <si>
    <t>Kleegras(70:30)</t>
  </si>
  <si>
    <t>GPS (Grünroggen)</t>
  </si>
  <si>
    <t>Gerste Erbsen (50:50 GPS)</t>
  </si>
  <si>
    <t xml:space="preserve"> Aufwuchs </t>
  </si>
  <si>
    <t>verlusten</t>
  </si>
  <si>
    <t>Legumin.</t>
  </si>
  <si>
    <t>Nutzungsform</t>
  </si>
  <si>
    <t>Grascobs</t>
  </si>
  <si>
    <t xml:space="preserve"> Futterart</t>
  </si>
  <si>
    <t xml:space="preserve">TM-Verluste </t>
  </si>
  <si>
    <t>bei verschiedenen Nutzungsverfahren</t>
  </si>
  <si>
    <t>TM-Gehalte</t>
  </si>
  <si>
    <t xml:space="preserve"> verschiedener Futterarten</t>
  </si>
  <si>
    <t>Aufteilung des Jahresertrages auf einzelne Nutzungen</t>
  </si>
  <si>
    <t>GPS (Getreide)</t>
  </si>
  <si>
    <t>GPS (Getreide/Legumin.)</t>
  </si>
  <si>
    <t>28</t>
  </si>
  <si>
    <t>Futterrüben (Masse)</t>
  </si>
  <si>
    <t>https://www.dsv-saaten.de/zwischenfruechte/zwischenfruechte_futter/winterroggen/pastar.html</t>
  </si>
  <si>
    <t xml:space="preserve"> -Hauptkultur mit einem Schnitt/einer Ernte</t>
  </si>
  <si>
    <t>/Jahr</t>
  </si>
  <si>
    <r>
      <t xml:space="preserve">DAUERGRÜNLAND </t>
    </r>
    <r>
      <rPr>
        <sz val="12"/>
        <rFont val="Arial"/>
        <family val="2"/>
      </rPr>
      <t>(mit 7-20% Leguminosenanteil)</t>
    </r>
  </si>
  <si>
    <t>Ackergras (Welsches Weidelg.)</t>
  </si>
  <si>
    <t>KTBL ÖKO (2010) S.198/199</t>
  </si>
  <si>
    <t>(Klee-)Grassilage/ GPS</t>
  </si>
  <si>
    <t>KTBL ÖKO Management (2004) S.179</t>
  </si>
  <si>
    <t xml:space="preserve">Landsberger Gemenge </t>
  </si>
  <si>
    <r>
      <t xml:space="preserve"> -Zwischenfrüchte </t>
    </r>
    <r>
      <rPr>
        <sz val="10"/>
        <rFont val="Arial"/>
        <family val="2"/>
      </rPr>
      <t>(ohne Anrechnung von Pacht und Ökoprämien)</t>
    </r>
  </si>
  <si>
    <t>TM Verluste:</t>
  </si>
  <si>
    <t>Allgemeine Orientierungswerte Futterbau</t>
  </si>
  <si>
    <t>Rund ballen</t>
  </si>
  <si>
    <t>Quader ballen</t>
  </si>
  <si>
    <t>90</t>
  </si>
  <si>
    <t>Weide intensiv</t>
  </si>
  <si>
    <t>Feld verluste</t>
  </si>
  <si>
    <t>Konser vierungs verluste</t>
  </si>
  <si>
    <t>*starke Schwankungen je nach Bedingung vorhanden</t>
  </si>
  <si>
    <t>% der TM*</t>
  </si>
  <si>
    <t>Masserüben (12% TS)</t>
  </si>
  <si>
    <t xml:space="preserve">Feldverluste </t>
  </si>
  <si>
    <t>Verluste:</t>
  </si>
  <si>
    <t>Nr.:</t>
  </si>
  <si>
    <t>Konservierungsver.</t>
  </si>
  <si>
    <t>Angenommenen Werte für die Berechnungsgrundlagen (können individuell angepasst werden)</t>
  </si>
  <si>
    <t>Werte:</t>
  </si>
  <si>
    <t>Mehrwertsteuer</t>
  </si>
  <si>
    <t>ausgewählt, Nr.:</t>
  </si>
  <si>
    <t xml:space="preserve"> -ZA- Prämie aus Zahlungsansprüchen in €/ha </t>
  </si>
  <si>
    <t xml:space="preserve"> -FAKT- Verfahrensspezifische Ausgleichsleistungen im Ökolandbau in €/h</t>
  </si>
  <si>
    <t>Spann-</t>
  </si>
  <si>
    <t>weite</t>
  </si>
  <si>
    <t>Grünland und Kleegras</t>
  </si>
  <si>
    <t>GPS und Mais</t>
  </si>
  <si>
    <t>Düngung</t>
  </si>
  <si>
    <t>Mähen, 1x Kreiseln,Schwaden, Transport und Festfahren</t>
  </si>
  <si>
    <t>&gt;mit Ladewagen</t>
  </si>
  <si>
    <t>&gt;mit Häcksler</t>
  </si>
  <si>
    <t>Ballen (ohne Transport)</t>
  </si>
  <si>
    <t>Ballen je ha</t>
  </si>
  <si>
    <t xml:space="preserve">AKh/ha </t>
  </si>
  <si>
    <t>€/Stück</t>
  </si>
  <si>
    <t>Spannw.</t>
  </si>
  <si>
    <t>Trocknung</t>
  </si>
  <si>
    <t>Zaunkosten</t>
  </si>
  <si>
    <t>Materialkosten</t>
  </si>
  <si>
    <t>Wiesen und Weiden</t>
  </si>
  <si>
    <t>Ackerfuttter (Hauptkultur)</t>
  </si>
  <si>
    <t xml:space="preserve"> 5-10</t>
  </si>
  <si>
    <t>Übersaat</t>
  </si>
  <si>
    <t>Kalkulatorische und variable Kosten</t>
  </si>
  <si>
    <t>Mehrwertsteuer, Nährstoffpreise, Zinsansatz, Lohnansatz, Saatgut und weitere variable Kosten</t>
  </si>
  <si>
    <t>in %</t>
  </si>
  <si>
    <t>in €/Akh</t>
  </si>
  <si>
    <t xml:space="preserve">sonstige variable Kosten </t>
  </si>
  <si>
    <t xml:space="preserve">A. </t>
  </si>
  <si>
    <t xml:space="preserve">Hinweise </t>
  </si>
  <si>
    <t>Gesamtübersicht der wichtigsten Kennzahlen aus den Produktionsverfahren</t>
  </si>
  <si>
    <t>Grafik der Vollkosten  Grünland und Ackerfutterbau in €/10MJ NEL</t>
  </si>
  <si>
    <t>Erträge, Werbungs- und Konservierungsverluste und Trockenmassegehalte</t>
  </si>
  <si>
    <t>Energiekonzentration und Raumgewicht verschiedener Futterarten</t>
  </si>
  <si>
    <t>FAKT/ Ausgleichszulage/ Zahlungsansprüche</t>
  </si>
  <si>
    <t>variable und kalkulatorische Kosten Nährstoffpreise / Zinsansatz / Saatgutpreise und Mengen/ weitere Kosten</t>
  </si>
  <si>
    <t>Kosten der überbetrieblichen Arbeitserledigung</t>
  </si>
  <si>
    <t xml:space="preserve">Festkosten Maschinen &amp; Maschinenehalle </t>
  </si>
  <si>
    <t>Festkosten Futterlagerraum &amp; Fläche</t>
  </si>
  <si>
    <t>Variable Maschinenkosten &amp; Arbeitszeitbedarf</t>
  </si>
  <si>
    <t>Produktivität Standort</t>
  </si>
  <si>
    <r>
      <t xml:space="preserve">FAKT (F1) Winterbegrünung (Wasserschutz/Erosion) </t>
    </r>
    <r>
      <rPr>
        <sz val="16"/>
        <rFont val="Arial"/>
        <family val="2"/>
      </rPr>
      <t>≈</t>
    </r>
    <r>
      <rPr>
        <sz val="12"/>
        <rFont val="Arial"/>
        <family val="2"/>
      </rPr>
      <t xml:space="preserve">
</t>
    </r>
  </si>
  <si>
    <r>
      <t xml:space="preserve">FAKT (F4)  Bodenbearbeitung mit Strip-Till- Verfahren </t>
    </r>
    <r>
      <rPr>
        <sz val="16"/>
        <rFont val="Arial"/>
        <family val="2"/>
      </rPr>
      <t>≈</t>
    </r>
  </si>
  <si>
    <t>≈ nur innerhalb der Wasserschutzkulisse</t>
  </si>
  <si>
    <t>Gerät</t>
  </si>
  <si>
    <t>variable Kosten €/Einh.</t>
  </si>
  <si>
    <t>Motorbelastung</t>
  </si>
  <si>
    <t>variable Kosten €/h</t>
  </si>
  <si>
    <t>Antrieb</t>
  </si>
  <si>
    <t>Arbeitsgerät</t>
  </si>
  <si>
    <t>kW</t>
  </si>
  <si>
    <t xml:space="preserve">Einzelk.saat 4r </t>
  </si>
  <si>
    <t>Reihehackgerät 3m</t>
  </si>
  <si>
    <t>Präparatespritze 6m</t>
  </si>
  <si>
    <t>eigene Kalkulation</t>
  </si>
  <si>
    <t>Mähkomb. Heck/Front  (6,2 m mit Aufbereiter)</t>
  </si>
  <si>
    <t xml:space="preserve">Kreiselschwader 7,5 m </t>
  </si>
  <si>
    <t>Ladewagen Silage, 4,1 t FM/ha m. Dosierw. (28 m³, 5 t Nutzl.)</t>
  </si>
  <si>
    <t>Grassilo festwalzen 4,1 t FM/ha mit Schlepper</t>
  </si>
  <si>
    <t>Fahrsilo reinigen und verschließen (4,1t FM/ ha)</t>
  </si>
  <si>
    <t>RB Presse Heu 1,5m Ø, 2,3t FM/ha inkl. Garn (ca.7 Stk./ha)</t>
  </si>
  <si>
    <t>RB Presse Silage 1,5m Ø, 4,1 t FM/ha inkl. Folie (ca.4 Stk/ha)</t>
  </si>
  <si>
    <t>Transp.Silo RB.4,1 t FM/ha, 2*5,4 t/Nm, inkl. Laden/ Abladen</t>
  </si>
  <si>
    <t>Transport Cops 20km 3t/ha (13,5 t Ki.)</t>
  </si>
  <si>
    <t>Transp. u. Abkip. Getr. 4t/ha (5,7 t Kipper)</t>
  </si>
  <si>
    <t>Transp. u. Abkip. Getr.4 t/ha (13,5 t Ki.)</t>
  </si>
  <si>
    <t>Variable Kosten in €/h (ohne MwSt.)</t>
  </si>
  <si>
    <t>Gesamt (Schlepper + Diesel)</t>
  </si>
  <si>
    <t>Agrardieselpreis aktuell</t>
  </si>
  <si>
    <t>Ersatz u. ähnliche</t>
  </si>
  <si>
    <t xml:space="preserve">und einer Einsatz abhängigen Motorbelastung von </t>
  </si>
  <si>
    <t>Schlepper 112-129 kW, Allrad</t>
  </si>
  <si>
    <t>Mwst. in %</t>
  </si>
  <si>
    <t xml:space="preserve">Kosten der überbetrieblichen Arbeitserledigung </t>
  </si>
  <si>
    <t>Heckmähwerk 2,8 m mit Aufber.</t>
  </si>
  <si>
    <t>Miststreuer</t>
  </si>
  <si>
    <t>Güllefass</t>
  </si>
  <si>
    <t>HeuBoden</t>
  </si>
  <si>
    <t xml:space="preserve">Lagerraumbedarf Produkt </t>
  </si>
  <si>
    <t>Sonstige Prämien (FAKT, Ausgleichszulage....)</t>
  </si>
  <si>
    <t>Nachtrag für feste Kosten</t>
  </si>
  <si>
    <t>Arbg.</t>
  </si>
  <si>
    <t>Akh</t>
  </si>
  <si>
    <t>je Arbeitsgang</t>
  </si>
  <si>
    <t>Kosten</t>
  </si>
  <si>
    <t>Anzahl</t>
  </si>
  <si>
    <t>Raumgewicht (Ballen/ lose)</t>
  </si>
  <si>
    <t>Nährstoffabfuhr berücksichtigen</t>
  </si>
  <si>
    <t>Ja</t>
  </si>
  <si>
    <t>Nein</t>
  </si>
  <si>
    <t>Der Wert der Nährstoffe sollte im Ökolandbau je nach Herkunft betriebsindividuell kalkuliert werden.</t>
  </si>
  <si>
    <t>Ökologischer Landbau</t>
  </si>
  <si>
    <t xml:space="preserve">3 Nutzungen </t>
  </si>
  <si>
    <t>4 Nutzungen</t>
  </si>
  <si>
    <t xml:space="preserve">4 Nutzungen </t>
  </si>
  <si>
    <t>2 Nutzungen</t>
  </si>
  <si>
    <t xml:space="preserve"> -mehrjährig mehrschnittig (1-2 Jahre)</t>
  </si>
  <si>
    <t>Datengrundlage: DLG Futterwerttabellen</t>
  </si>
  <si>
    <t xml:space="preserve">Gebäudekapital </t>
  </si>
  <si>
    <t>Vorwort</t>
  </si>
  <si>
    <t>Diese Kalkulationsdaten sind 2015 erstmals speziell für den ökologischen Anbau aufbereitet und angepasst. Sie liefern einen Kostenansatz mit pauschalen Anhaltswerten für die Grundfutterkosten je Energieeinheit in der Tierhaltung.</t>
  </si>
  <si>
    <t xml:space="preserve">Diese können in der Kalkulation von Produktionsverfahren in der Betriebsplanung genutzt werden. Als Bezugsgröße dient dabei die Menge an Futterenergie (10 MJ NEL bzw. 10 MJ ME), die der Tierhaltung zur Verfügung gestellt wird. Diese Bezugsgröße wird üblicherweise bei ökonomischen Vergleichen genutzt. Dabei muss einschränkend darauf hingewiesen werden, dass der monetäre Wert weiterer Inhaltsstoffe der Futtermittel, die den "Futterwert" insgesamt beeinflussen, nicht berücksichtigt ist. Beispielhaft sei hier das Rohprotein genannt, welches u.a. in allen Grünlandprodukten  in nicht unerheblichen Maß zur Futterwertsteigerung beiträgt.   </t>
  </si>
  <si>
    <r>
      <t xml:space="preserve">1.   Programmaufbau und Dateneingabe </t>
    </r>
    <r>
      <rPr>
        <sz val="12"/>
        <color rgb="FF000000"/>
        <rFont val="Arial"/>
        <family val="2"/>
      </rPr>
      <t xml:space="preserve"> </t>
    </r>
  </si>
  <si>
    <t>Abb.:Aufbau der Kalkulationsdaten Futterbau</t>
  </si>
  <si>
    <t xml:space="preserve">Grundlegende Daten für alle Verfahren sind in den Arbeitsblättern mit Stammdaten (siehe obere Zeile der Abbildung)  aufgeführt und mit den Arbeitsblättern der einzelnen Produktionsverfahren verknüpft. </t>
  </si>
  <si>
    <t xml:space="preserve">Änderungen in diesen  Blättern werden automatisch in allen Produktionsverfahren gleichermaßen geändert. Für alle Produktionsverfahren werden die weiteren zur Berechnung notwendigen Kennzahlen in das jeweilige Arbeitsblatt "Produktionsverfahren-(a)" eingegeben.  </t>
  </si>
  <si>
    <r>
      <t xml:space="preserve"> </t>
    </r>
    <r>
      <rPr>
        <b/>
        <sz val="12"/>
        <color rgb="FF0070C0"/>
        <rFont val="Arial"/>
        <family val="2"/>
      </rPr>
      <t xml:space="preserve">Alle Berechnungsvorgaben können vom Anwender in der EDV-Datei verändert werden,so dass die betriebsspezifische Berechnung der Grundfutterkosten im Einzelbetrieb möglich ist. </t>
    </r>
    <r>
      <rPr>
        <sz val="12"/>
        <color rgb="FF0070C0"/>
        <rFont val="Arial"/>
        <family val="2"/>
      </rPr>
      <t xml:space="preserve"> </t>
    </r>
    <r>
      <rPr>
        <b/>
        <sz val="12"/>
        <color rgb="FF0070C0"/>
        <rFont val="Arial"/>
        <family val="2"/>
      </rPr>
      <t xml:space="preserve"> Änderungen sind in den gelb hinterlegten Feldern möglich. Dunkelgelb gefärbte Zellen enthalten durch Formeln erzeugte Vorschlagswerte. Diese Formeln werden beim Überschreiben zerstört.</t>
    </r>
    <r>
      <rPr>
        <sz val="12"/>
        <color rgb="FF0070C0"/>
        <rFont val="Arial"/>
        <family val="2"/>
      </rPr>
      <t xml:space="preserve">  </t>
    </r>
    <r>
      <rPr>
        <b/>
        <sz val="12"/>
        <color rgb="FF0070C0"/>
        <rFont val="Arial"/>
        <family val="2"/>
      </rPr>
      <t>Zur Anlage neuer Verfahren kopieren Sie gleichzeitig die Blätter -(a) und-(b) eines ähnlichen Verfahrens und ändern dieses dann entsprechend.</t>
    </r>
    <r>
      <rPr>
        <sz val="12"/>
        <color rgb="FF0070C0"/>
        <rFont val="Arial"/>
        <family val="2"/>
      </rPr>
      <t xml:space="preserve">   </t>
    </r>
  </si>
  <si>
    <r>
      <t>2.   Stammdaten</t>
    </r>
    <r>
      <rPr>
        <sz val="16"/>
        <color rgb="FF000000"/>
        <rFont val="Arial"/>
        <family val="2"/>
      </rPr>
      <t xml:space="preserve"> </t>
    </r>
  </si>
  <si>
    <r>
      <rPr>
        <b/>
        <sz val="12"/>
        <rFont val="Arial"/>
        <family val="2"/>
      </rPr>
      <t>"Erträge, TS-Gehalt/Energie"</t>
    </r>
    <r>
      <rPr>
        <sz val="12"/>
        <color rgb="FF0070C0"/>
        <rFont val="Arial"/>
        <family val="2"/>
      </rPr>
      <t xml:space="preserve"> </t>
    </r>
    <r>
      <rPr>
        <sz val="12"/>
        <color rgb="FF000000"/>
        <rFont val="Arial"/>
        <family val="2"/>
      </rPr>
      <t xml:space="preserve"> In diesen Blättern sind Faustzahlen für Erträge, Energiegehalte, Verluste und TM-Gehalte der verschiedenen Produktionsverfahren zusammengefasst.</t>
    </r>
  </si>
  <si>
    <r>
      <rPr>
        <b/>
        <sz val="12"/>
        <rFont val="Arial"/>
        <family val="2"/>
      </rPr>
      <t xml:space="preserve">"Preise" </t>
    </r>
    <r>
      <rPr>
        <sz val="12"/>
        <color rgb="FF000000"/>
        <rFont val="Arial"/>
        <family val="2"/>
      </rPr>
      <t>Die Eingabe von Preisen erfolgt grundsätzlich in Euro (€) ohne Mwst.. Diese wird automatisch in den  Produktionsverfahren hinzu gerechnet. Preise für Lohnmaschinen und Pflanzenschutzmittel werden in den Berechnungsgrundlagen beim jeweiligen Produktionsverfahren eingegeben</t>
    </r>
    <r>
      <rPr>
        <sz val="12"/>
        <color rgb="FF0070C0"/>
        <rFont val="Arial"/>
        <family val="2"/>
      </rPr>
      <t xml:space="preserve">. </t>
    </r>
    <r>
      <rPr>
        <b/>
        <u/>
        <sz val="12"/>
        <color rgb="FF0070C0"/>
        <rFont val="Arial"/>
        <family val="2"/>
      </rPr>
      <t>Es besteht im Blatt "Preise" die Möglichkeit die Bewertung der Nährstoffabfuhr auszuschalten oder den  Wert der Nährstoffe zu verändern.</t>
    </r>
    <r>
      <rPr>
        <sz val="9"/>
        <color rgb="FF000000"/>
        <rFont val="Arial"/>
        <family val="2"/>
      </rPr>
      <t> </t>
    </r>
    <r>
      <rPr>
        <sz val="12"/>
        <color rgb="FF000000"/>
        <rFont val="Calibri"/>
        <family val="2"/>
      </rPr>
      <t xml:space="preserve"> </t>
    </r>
    <r>
      <rPr>
        <sz val="8"/>
        <color rgb="FF000000"/>
        <rFont val="Arial"/>
        <family val="2"/>
      </rPr>
      <t> </t>
    </r>
    <r>
      <rPr>
        <sz val="12"/>
        <color rgb="FF000000"/>
        <rFont val="Calibri"/>
        <family val="2"/>
      </rPr>
      <t xml:space="preserve"> </t>
    </r>
    <r>
      <rPr>
        <sz val="8"/>
        <color rgb="FF000000"/>
        <rFont val="Arial"/>
        <family val="2"/>
      </rPr>
      <t> </t>
    </r>
    <r>
      <rPr>
        <sz val="12"/>
        <color rgb="FF000000"/>
        <rFont val="Calibri"/>
        <family val="2"/>
      </rPr>
      <t xml:space="preserve"> </t>
    </r>
  </si>
  <si>
    <r>
      <rPr>
        <b/>
        <sz val="12"/>
        <rFont val="Arial"/>
        <family val="2"/>
      </rPr>
      <t>"Prämien"</t>
    </r>
    <r>
      <rPr>
        <sz val="12"/>
        <color rgb="FF000000"/>
        <rFont val="Arial"/>
        <family val="2"/>
      </rPr>
      <t xml:space="preserve"> In diesem Blatt ist oben rechts das Jahr einzugeben, für das die Berechnungen durchgeführt werden sollen. Diese Auswahl wird dann allen Berechnungen zugrunde gelegt</t>
    </r>
    <r>
      <rPr>
        <b/>
        <sz val="12"/>
        <color rgb="FF000000"/>
        <rFont val="Arial"/>
        <family val="2"/>
      </rPr>
      <t>.</t>
    </r>
    <r>
      <rPr>
        <sz val="12"/>
        <color rgb="FF000000"/>
        <rFont val="Arial"/>
        <family val="2"/>
      </rPr>
      <t xml:space="preserve"> Hier sind die relevanten Ausgleichsleistungen (FAKT, Ausgleichszulage, Zahlungsansprüche aus GAP-Reform) aufgeführt.  </t>
    </r>
  </si>
  <si>
    <r>
      <rPr>
        <b/>
        <sz val="12"/>
        <rFont val="Arial"/>
        <family val="2"/>
      </rPr>
      <t>"Arbeitsgänge"</t>
    </r>
    <r>
      <rPr>
        <sz val="12"/>
        <color rgb="FF0070C0"/>
        <rFont val="Arial"/>
        <family val="2"/>
      </rPr>
      <t xml:space="preserve"> </t>
    </r>
    <r>
      <rPr>
        <sz val="12"/>
        <color rgb="FF000000"/>
        <rFont val="Arial"/>
        <family val="2"/>
      </rPr>
      <t xml:space="preserve">In diesem Blatt sind die variablen Maschinenkosten und der Arbeitszeitbedarf für die wichtigsten Arbeitsgänge der Futterbauverfahren aufgelistet. Die Arbeitsgänge können dann in den "Berechnungsgrundlagen" zu den einzelnen Produktionsverfahren ausgewählt und entsprechend ihrer Einsatzhäufigkeit (z.B. 3x Zetten) zugeteilt werden. Weitere Verfahren können in die gelben Felder frei eingegeben werden.   </t>
    </r>
  </si>
  <si>
    <r>
      <t xml:space="preserve"> </t>
    </r>
    <r>
      <rPr>
        <b/>
        <sz val="12"/>
        <color rgb="FF000000"/>
        <rFont val="Arial"/>
        <family val="2"/>
      </rPr>
      <t>"Festkosten Maschinen"</t>
    </r>
    <r>
      <rPr>
        <sz val="12"/>
        <color rgb="FF000000"/>
        <rFont val="Arial"/>
        <family val="2"/>
      </rPr>
      <t xml:space="preserve"> In diesem Blatt sind die Festkosten für Maschinen und eine Maschinehalle für einen Beispielsbetrieb vorgegeben und auf die jeweilige Einsatzfläche verteilt. Hieraus werden die Jahreskosten/ha für Maschinen und Gebäude (Abschreibung, Verzinsung, bei Gebäuden auch Unterhaltung) berechnet und in die Kostenrechnung der    Produktionsverfahren übertragen.Vorgegeben ist ein Betrieb mit dem notwendigen Maschinenbesatz und realistischen Werten für die Nutzungsdauer und den außerbetrieblichen Einsatzumfang (z.B. Lohnarbeit, Forstarbeit). Um die Enterverfahren besser vergleichen zu können werden für diese jeweils Lohnmaschinen unterstellt, so dass hierfür keine festen Maschinenkosten veranschlagt werden müssen.  Alternativ können hier auch Angaben für einen realen Betrieb eingegeben werden.   </t>
    </r>
  </si>
  <si>
    <r>
      <rPr>
        <b/>
        <sz val="12"/>
        <rFont val="Arial"/>
        <family val="2"/>
      </rPr>
      <t xml:space="preserve">"Festkosten-Lager-Fläche" </t>
    </r>
    <r>
      <rPr>
        <sz val="12"/>
        <color rgb="FF000000"/>
        <rFont val="Arial"/>
        <family val="2"/>
      </rPr>
      <t xml:space="preserve">Hier sind weitere feste Spezial- und Gemeinkosten zusammengestellt. Dies betrift u.a. den Pachtansatz für die Flächen, sonstige Festkosten die keinem Produktionsverfahren direkt zugeordnet werden können und die Kosten für den Lagerraum Futter (Silage, Heu, Cobs).  </t>
    </r>
  </si>
  <si>
    <t>3.   Eingaben in der Berechnungsgrundlage</t>
  </si>
  <si>
    <t xml:space="preserve"> =a) Blätter "Berechnungsgrundlagen" </t>
  </si>
  <si>
    <r>
      <t xml:space="preserve">Die Art der </t>
    </r>
    <r>
      <rPr>
        <b/>
        <u/>
        <sz val="12"/>
        <rFont val="Arial"/>
        <family val="2"/>
      </rPr>
      <t xml:space="preserve">Nutzung Hauptprodukt  </t>
    </r>
    <r>
      <rPr>
        <sz val="12"/>
        <rFont val="Arial"/>
        <family val="2"/>
      </rPr>
      <t>( Heu, Silage, Grün etc.) ist fest vorgegeben, da sie mit unterschiedlichen Kosten für Lager, Maschienen etc. verbunden sind. Sollen weitere praxisübliche Kombinationen genutzt werden ist es sinnvoll die Kosten  der Verfahren anteilig auf die betriebliche Gesamterntemenge umzulegen (z.b. 40 % Silage, 20% Heu,40 % Weide).</t>
    </r>
  </si>
  <si>
    <r>
      <rPr>
        <b/>
        <u/>
        <sz val="12"/>
        <rFont val="Arial"/>
        <family val="2"/>
      </rPr>
      <t>Verfahrensspezifische Ausgleichsleistungen</t>
    </r>
    <r>
      <rPr>
        <sz val="12"/>
        <rFont val="Arial"/>
        <family val="2"/>
      </rPr>
      <t xml:space="preserve"> </t>
    </r>
    <r>
      <rPr>
        <sz val="12"/>
        <color rgb="FF000000"/>
        <rFont val="Arial"/>
        <family val="2"/>
      </rPr>
      <t>sind  FAKT-Prämien, die Ausgleichszulage  für benachteiligte Gebiete sowie die Steillagenförderung.</t>
    </r>
  </si>
  <si>
    <r>
      <rPr>
        <b/>
        <u/>
        <sz val="12"/>
        <rFont val="Arial"/>
        <family val="2"/>
      </rPr>
      <t xml:space="preserve">Flächengrundprämien aus Zahlungsansprüchen </t>
    </r>
    <r>
      <rPr>
        <sz val="12"/>
        <color rgb="FF000000"/>
        <rFont val="Arial"/>
        <family val="2"/>
      </rPr>
      <t xml:space="preserve">werden ebenso  als Gemeinleistungen den Futterbauverfahren zugerechnet werden. Ihr Anteil kann jedoch nicht verfahrensabhängig sondern nur flächenabhängig geändert werden. </t>
    </r>
  </si>
  <si>
    <t xml:space="preserve">Da im ökologischen Landbau ein geschlosserner Kreislauf angestebt wird kann, eine ausgegelichene Düngerbilanzbilanz vorrausgesetzt, die monetäre Bewertung der Nährstoffe aussgeschalten werden (siehe Blatt Preise). In der Tierhaltung ist dann jedoch ebenso zu verfahren. </t>
  </si>
  <si>
    <r>
      <t>Die</t>
    </r>
    <r>
      <rPr>
        <i/>
        <sz val="12"/>
        <color rgb="FF000000"/>
        <rFont val="Arial"/>
        <family val="2"/>
      </rPr>
      <t xml:space="preserve"> </t>
    </r>
    <r>
      <rPr>
        <b/>
        <u/>
        <sz val="12"/>
        <color rgb="FF000000"/>
        <rFont val="Arial"/>
        <family val="2"/>
      </rPr>
      <t xml:space="preserve">variablen Maschinenkosten </t>
    </r>
    <r>
      <rPr>
        <sz val="12"/>
        <color rgb="FF000000"/>
        <rFont val="Arial"/>
        <family val="2"/>
      </rPr>
      <t xml:space="preserve">und die Berechnung des </t>
    </r>
    <r>
      <rPr>
        <b/>
        <u/>
        <sz val="12"/>
        <color rgb="FF000000"/>
        <rFont val="Arial"/>
        <family val="2"/>
      </rPr>
      <t>Arbeitszeitbedarfs</t>
    </r>
    <r>
      <rPr>
        <i/>
        <sz val="12"/>
        <color rgb="FF000000"/>
        <rFont val="Arial"/>
        <family val="2"/>
      </rPr>
      <t xml:space="preserve"> </t>
    </r>
    <r>
      <rPr>
        <sz val="12"/>
        <color rgb="FF000000"/>
        <rFont val="Arial"/>
        <family val="2"/>
      </rPr>
      <t xml:space="preserve">erfolgt durch Auswahl der  Arbeitsgänge aus dem Blatt "Arbeitsgänge".  Im Anschluß werden diese in Anlehnung an die Frischmasseabfuhr auf die einzelnen  Nutzungen verteilt. Beim Arbeitszeitbedarf ist ein prozentualer Zuschlag für allgemeine Arbeiten (Rüstzeiten, Wartungsarbeiten, Organisation) vorgegeben, der varriert werden kann. </t>
    </r>
  </si>
  <si>
    <r>
      <t>Falls</t>
    </r>
    <r>
      <rPr>
        <b/>
        <u/>
        <sz val="12"/>
        <color rgb="FF000000"/>
        <rFont val="Arial"/>
        <family val="2"/>
      </rPr>
      <t xml:space="preserve"> Lohnmaschinen </t>
    </r>
    <r>
      <rPr>
        <sz val="12"/>
        <color rgb="FF000000"/>
        <rFont val="Arial"/>
        <family val="2"/>
      </rPr>
      <t>eingesetzt werden, können diese Kosten ohne Mwst. eingegeben werden. Der Einsatzumfang eigener Maschinen und die Eigenmechanisierung (Blatt "Festk-Maschinen") ist dann gegf. zu reduzieren. Anhaltswerte für die Kosten der überbetrieblichen Arbeitserledigung sind im Blatt "Preise" aufgeführt.</t>
    </r>
  </si>
  <si>
    <r>
      <t xml:space="preserve">Die durchschnittliche Festlegungsdauer für das </t>
    </r>
    <r>
      <rPr>
        <b/>
        <u/>
        <sz val="12"/>
        <color rgb="FF000000"/>
        <rFont val="Arial"/>
        <family val="2"/>
      </rPr>
      <t>Umlaufvermögen</t>
    </r>
    <r>
      <rPr>
        <sz val="12"/>
        <color rgb="FF000000"/>
        <rFont val="Arial"/>
        <family val="2"/>
      </rPr>
      <t xml:space="preserve"> ist mit 5 Monaten vorgegeben, kann jedoch  angepasst werden. </t>
    </r>
  </si>
  <si>
    <t xml:space="preserve">= b ) Blätter "Kostenrechnung" </t>
  </si>
  <si>
    <r>
      <t xml:space="preserve">Die Kennwerte </t>
    </r>
    <r>
      <rPr>
        <b/>
        <sz val="12"/>
        <color rgb="FF000000"/>
        <rFont val="Arial"/>
        <family val="2"/>
      </rPr>
      <t>"variable Kosten"</t>
    </r>
    <r>
      <rPr>
        <sz val="12"/>
        <color rgb="FF000000"/>
        <rFont val="Arial"/>
        <family val="2"/>
      </rPr>
      <t xml:space="preserve"> und </t>
    </r>
    <r>
      <rPr>
        <b/>
        <sz val="12"/>
        <color rgb="FF000000"/>
        <rFont val="Arial"/>
        <family val="2"/>
      </rPr>
      <t>"Deckungsbeitrag"</t>
    </r>
    <r>
      <rPr>
        <sz val="12"/>
        <color rgb="FF000000"/>
        <rFont val="Arial"/>
        <family val="2"/>
      </rPr>
      <t xml:space="preserve"> sind bei </t>
    </r>
    <r>
      <rPr>
        <b/>
        <i/>
        <sz val="12"/>
        <color rgb="FF000000"/>
        <rFont val="Arial"/>
        <family val="2"/>
      </rPr>
      <t>kurzfristiger Betrachtungsweise</t>
    </r>
    <r>
      <rPr>
        <i/>
        <sz val="12"/>
        <color rgb="FF000000"/>
        <rFont val="Arial"/>
        <family val="2"/>
      </rPr>
      <t xml:space="preserve"> </t>
    </r>
    <r>
      <rPr>
        <sz val="12"/>
        <color rgb="FF000000"/>
        <rFont val="Arial"/>
        <family val="2"/>
      </rPr>
      <t>- also bei unveränderten Kapazitäten des Betriebes-  die entscheidenden Kennzahlen, bezogen auf die Nährstoffeinheit MJ NEL bzw. ME.</t>
    </r>
  </si>
  <si>
    <r>
      <t xml:space="preserve">Der </t>
    </r>
    <r>
      <rPr>
        <b/>
        <u/>
        <sz val="12"/>
        <color rgb="FF000000"/>
        <rFont val="Arial"/>
        <family val="2"/>
      </rPr>
      <t>Deckungsbeitrag inkl. Prämien und Zinsansatz</t>
    </r>
    <r>
      <rPr>
        <u/>
        <sz val="12"/>
        <color rgb="FF000000"/>
        <rFont val="Arial"/>
        <family val="2"/>
      </rPr>
      <t xml:space="preserve"> </t>
    </r>
    <r>
      <rPr>
        <sz val="12"/>
        <color rgb="FF000000"/>
        <rFont val="Arial"/>
        <family val="2"/>
      </rPr>
      <t>beinhaltet alle Ausgleichsleistungen eines einzelnen Produktionsverfahrens, welches dadurch maßgeblich beeinflusst wird. Dieser Deckungsbeitrag ist gleichzeitig Grundlage für die Ermittlung der Vollkosten.</t>
    </r>
  </si>
  <si>
    <r>
      <t xml:space="preserve">Das </t>
    </r>
    <r>
      <rPr>
        <b/>
        <u/>
        <sz val="12"/>
        <color rgb="FF000000"/>
        <rFont val="Arial"/>
        <family val="2"/>
      </rPr>
      <t>kalkulatorische Betriebszweigergebnis</t>
    </r>
    <r>
      <rPr>
        <u/>
        <sz val="12"/>
        <color rgb="FF000000"/>
        <rFont val="Arial"/>
        <family val="2"/>
      </rPr>
      <t xml:space="preserve"> </t>
    </r>
    <r>
      <rPr>
        <sz val="12"/>
        <color rgb="FF000000"/>
        <rFont val="Arial"/>
        <family val="2"/>
      </rPr>
      <t xml:space="preserve">berücksichtigt bei </t>
    </r>
    <r>
      <rPr>
        <b/>
        <i/>
        <sz val="12"/>
        <color rgb="FF000000"/>
        <rFont val="Arial"/>
        <family val="2"/>
      </rPr>
      <t>langfristiger Betrachtung</t>
    </r>
    <r>
      <rPr>
        <i/>
        <sz val="12"/>
        <color rgb="FF000000"/>
        <rFont val="Arial"/>
        <family val="2"/>
      </rPr>
      <t xml:space="preserve"> </t>
    </r>
    <r>
      <rPr>
        <sz val="12"/>
        <color rgb="FF000000"/>
        <rFont val="Arial"/>
        <family val="2"/>
      </rPr>
      <t xml:space="preserve">auch die unterschiedlichen Festkosten und Arbeitsansprüche der  Verfahren Hierbei spielen auch die unterschiedlichen Nutzungskosten(Pachtpreise) der Fläche eine Rolle. Das kalkulatorische Betriebszweigergebnis errechnet sich aus der Summe  aller Leistungen, vermindert um alle Kosten, einschl. der kalkulatorischen Kosten (Lohnansatz, Pachtansatz, Zinsansatz). </t>
    </r>
  </si>
  <si>
    <r>
      <t xml:space="preserve">Der </t>
    </r>
    <r>
      <rPr>
        <b/>
        <u/>
        <sz val="12"/>
        <color rgb="FF000000"/>
        <rFont val="Arial"/>
        <family val="2"/>
      </rPr>
      <t xml:space="preserve">kostendeckende Erlös </t>
    </r>
    <r>
      <rPr>
        <sz val="12"/>
        <color rgb="FF000000"/>
        <rFont val="Arial"/>
        <family val="2"/>
      </rPr>
      <t>ergibt sich aus dieser Gesamtheit der Kosten abzgl. der erhaltenen Prämien und wird entsprechend auf die dt FM oder TM gerechnet.Dies entspricht im Verkaufsfall dem langfristig anzusetzenden Verkaufspreis des Produktes. Bezogen auf 10 MJ NEL bzw. ME gehen sie als Grundfutterkosten in  die Vollkostenrechnung der Tierhaltungsverfahren ein.</t>
    </r>
  </si>
  <si>
    <r>
      <rPr>
        <b/>
        <u/>
        <sz val="12"/>
        <rFont val="Arial"/>
        <family val="2"/>
      </rPr>
      <t>Kosten abzgl. Gebäudekosten u. Lagerraum</t>
    </r>
    <r>
      <rPr>
        <u/>
        <sz val="12"/>
        <color rgb="FF000000"/>
        <rFont val="Arial"/>
        <family val="2"/>
      </rPr>
      <t xml:space="preserve"> </t>
    </r>
    <r>
      <rPr>
        <sz val="12"/>
        <color rgb="FF000000"/>
        <rFont val="Arial"/>
        <family val="2"/>
      </rPr>
      <t>werden seperat aufgeführt da feste Gebäudekosten für Maschinenunterbringung und Kosten für Lagerraum häufig den  festen Gebäudekosten für Tierhaltungsverfahren (z.B. Futtersilos in der Milchviehhaltung) zugerechnet werden. Zum Vergleich der relativen  Vorzüglichkeit eines Futterbauverfahrens müssen diese Kosten jedoch hier berücksichtigt werden.</t>
    </r>
  </si>
  <si>
    <r>
      <t xml:space="preserve">Die </t>
    </r>
    <r>
      <rPr>
        <b/>
        <u/>
        <sz val="12"/>
        <color rgb="FF000000"/>
        <rFont val="Arial"/>
        <family val="2"/>
      </rPr>
      <t>Direktkosten</t>
    </r>
    <r>
      <rPr>
        <sz val="12"/>
        <color rgb="FF000000"/>
        <rFont val="Arial"/>
        <family val="2"/>
      </rPr>
      <t xml:space="preserve"> sind  vorallem in der Betriebsanalyse nach  einer  Systematik der DLG (vgl.Arbeiten der DLG/Band 197: Die neue Betriebszweigabrechnung, 2. Aufl.) bedeutend. Es sind alle Kosten, die einem Betriebszweig direkt zugerechnet werden  können und leicht erfassbar sind: Saatgut, Dünger, Pflanzenschutz und sonstige variable  Kosten (Beregnung, Trocknung, Lagerung und Vermarktung) sowie ein Zinsansatz f. das Umlaufvermögen. Sie werden, um einen Vergleich mit empirischen Betriebszweigabrechnungen zu ermöglichen, in den  letzten Zeilen des Blattes "Kostenrechnung" ausgewiesen. Daraus ergibt sich auch die </t>
    </r>
    <r>
      <rPr>
        <b/>
        <i/>
        <sz val="12"/>
        <color rgb="FF000000"/>
        <rFont val="Arial"/>
        <family val="2"/>
      </rPr>
      <t xml:space="preserve">direktkostenfreie Leistung </t>
    </r>
    <r>
      <rPr>
        <sz val="12"/>
        <color rgb="FF000000"/>
        <rFont val="Arial"/>
        <family val="2"/>
      </rPr>
      <t>die die Differenz der Leistung und der Direktkosten darstellt.</t>
    </r>
  </si>
  <si>
    <r>
      <t>Zu den</t>
    </r>
    <r>
      <rPr>
        <b/>
        <i/>
        <sz val="12"/>
        <color rgb="FF000000"/>
        <rFont val="Arial"/>
        <family val="2"/>
      </rPr>
      <t xml:space="preserve"> </t>
    </r>
    <r>
      <rPr>
        <b/>
        <u/>
        <sz val="12"/>
        <color rgb="FF000000"/>
        <rFont val="Arial"/>
        <family val="2"/>
      </rPr>
      <t xml:space="preserve">Kosten der Arbeitserledigung </t>
    </r>
    <r>
      <rPr>
        <sz val="12"/>
        <color rgb="FF000000"/>
        <rFont val="Arial"/>
        <family val="2"/>
      </rPr>
      <t xml:space="preserve">zählen alle Kosten, die in Verbindung mit Arbeit und Maschinen verursacht werden. Hierzu zählen die variablen Maschinenkosten (Maschinenunterhaltung, Treibstoff, Strom), Kosten für Lohnmaschinen, variable Lohnkosten,  feste Maschinenkosten (Abschreibung, Zinsansatz und Unterhaltung Maschinen), Kosten für ständige Fremd-AK sowie der Lohnansatz für nichtentlohnte AK. </t>
    </r>
  </si>
  <si>
    <t>103 €/ha</t>
  </si>
  <si>
    <t>97 €/ha</t>
  </si>
  <si>
    <t>91 €/ha</t>
  </si>
  <si>
    <t>85 €/ha</t>
  </si>
  <si>
    <t>79 €/ha</t>
  </si>
  <si>
    <t>73 €/ha</t>
  </si>
  <si>
    <t>67 €/ha</t>
  </si>
  <si>
    <t>61 €/ha</t>
  </si>
  <si>
    <t>55 €/ha</t>
  </si>
  <si>
    <t>49 €/ha</t>
  </si>
  <si>
    <t>43 €/ha</t>
  </si>
  <si>
    <t>mit Tierhaltung - Grünland</t>
  </si>
  <si>
    <t>Gemarkungs EMZ bis 19,9</t>
  </si>
  <si>
    <t>150 €/ha</t>
  </si>
  <si>
    <t>Gemarkungs EMZ 20,0 bis 24,9</t>
  </si>
  <si>
    <t>135 €/ha</t>
  </si>
  <si>
    <t>Gemarkungs EMZ 25,0 bis 29,9</t>
  </si>
  <si>
    <t>120 €/ha</t>
  </si>
  <si>
    <t>Gemarkungs EMZ 30,0 bis 34,9</t>
  </si>
  <si>
    <t>110 €/ha</t>
  </si>
  <si>
    <t>Gemarkungs EMZ ab 35,0</t>
  </si>
  <si>
    <t>ohne Tierhaltung - Grünland</t>
  </si>
  <si>
    <t>25 €/ha</t>
  </si>
  <si>
    <t>2) Benachteiligte Gebiete</t>
  </si>
  <si>
    <t>2) Berggebiete</t>
  </si>
  <si>
    <t>Ben. Gebiet - Grünland - ungünst. Standort (bis LVZ 19,9)</t>
  </si>
  <si>
    <t>Ben. Gebiet - Grünland - mittlerer Standort (LVZ 20-23,9)</t>
  </si>
  <si>
    <t>Ben. Gebiet - Grünland - günstiger Standort (LVZ &gt;24)</t>
  </si>
  <si>
    <t>Berggebiet - mit Tierhaltung - Grünland</t>
  </si>
  <si>
    <t>Berggebiet - ohne Tierhaltung - Grünland</t>
  </si>
  <si>
    <t>Berggebiet - Ackerland</t>
  </si>
  <si>
    <t xml:space="preserve">Düngung (Nährstoffentzug) </t>
  </si>
  <si>
    <t xml:space="preserve">(Versicherungen, Buchf., Berufsgen., Verbände, </t>
  </si>
  <si>
    <t>Kontrolle etc. nicht bei Zwischenfrüchten)</t>
  </si>
  <si>
    <t>€/dt Heu</t>
  </si>
  <si>
    <t>kWh/dt Heu</t>
  </si>
  <si>
    <t>var. Kosten Heutrocknung</t>
  </si>
  <si>
    <t>€/ kWh</t>
  </si>
  <si>
    <t>Trocknungs-</t>
  </si>
  <si>
    <t>anlage</t>
  </si>
  <si>
    <t>Anschaffungswert €</t>
  </si>
  <si>
    <t>Heu je Jahr in m³</t>
  </si>
  <si>
    <t>Kaltluftbelüftung</t>
  </si>
  <si>
    <t>Belüftung+Entfeuchtung</t>
  </si>
  <si>
    <t>Preis angabe</t>
  </si>
  <si>
    <t>145 €/AKh</t>
  </si>
  <si>
    <t>(8,0-9,0 m) mit Aufbereiter (200 kW Traktor)</t>
  </si>
  <si>
    <t>Festmist</t>
  </si>
  <si>
    <t xml:space="preserve">Gülle  </t>
  </si>
  <si>
    <t xml:space="preserve"> 3 - 4</t>
  </si>
  <si>
    <t>Lagerraum/Trocknung Festk.</t>
  </si>
  <si>
    <t>HeuTrocknung</t>
  </si>
  <si>
    <t>MwSt. in%</t>
  </si>
  <si>
    <t>längerfristigerZinssatz (i) für gebundenes Kapital in %</t>
  </si>
  <si>
    <t>Heu getrocknet</t>
  </si>
  <si>
    <t>100-180</t>
  </si>
  <si>
    <t>€/Einheit</t>
  </si>
  <si>
    <t>Ackergras ( Welsches Weidelgras)</t>
  </si>
  <si>
    <t>Schlepper 185-215 kW, Allrad</t>
  </si>
  <si>
    <t>Schlepper 93-111 kW, Allrad</t>
  </si>
  <si>
    <t>Schlepper 75-92 kW, Allrad</t>
  </si>
  <si>
    <t>Schlepper 49-59 kW, Allrad</t>
  </si>
  <si>
    <t>Saatbettkombination 4 m</t>
  </si>
  <si>
    <t>Kurzscheibenegge 3 m</t>
  </si>
  <si>
    <t>Cambridgewalze 4 m</t>
  </si>
  <si>
    <t>S. 82+166</t>
  </si>
  <si>
    <t>Anbaudrehpflug 5 Schare, 175 cm</t>
  </si>
  <si>
    <t>Anbaudrehpflug 1,4 m</t>
  </si>
  <si>
    <t>S. 84+165</t>
  </si>
  <si>
    <t>Schwergrubber angebaut 3 m</t>
  </si>
  <si>
    <t xml:space="preserve">Stoppelgrubber, tief, schräg zur Hauptarbeitsrichtung, 3 m </t>
  </si>
  <si>
    <t>S. 89+167</t>
  </si>
  <si>
    <t>Kreiselegge 3 m, angebaut</t>
  </si>
  <si>
    <t>S. 85+167</t>
  </si>
  <si>
    <t>Saatbeetkombination 3 bis 4,5 m, angebaut</t>
  </si>
  <si>
    <t>Saatbeetkombination, eine Überfahrt 4 m</t>
  </si>
  <si>
    <t>S. 86+164</t>
  </si>
  <si>
    <t>Kurzscheibenegge 3 m, angebaut</t>
  </si>
  <si>
    <t xml:space="preserve">Kurzscheibenegge, schräg zur Hauptarbeitsrichtung, 3 m </t>
  </si>
  <si>
    <t>S. 86+165</t>
  </si>
  <si>
    <t>Scheibenegge 3 m, angebaut</t>
  </si>
  <si>
    <t xml:space="preserve">Scheibenegge, tief, schräg zur Hauptarbeitsrichtung, 3 m </t>
  </si>
  <si>
    <t>S. 88+167</t>
  </si>
  <si>
    <t>Cambridgewalze 1,6 t, 4 m, angebaut</t>
  </si>
  <si>
    <t>Frontgrubber-Kreiselegge-Säkomb. 3m</t>
  </si>
  <si>
    <r>
      <t xml:space="preserve">Gesamt </t>
    </r>
    <r>
      <rPr>
        <sz val="12"/>
        <rFont val="Arial"/>
        <family val="2"/>
      </rPr>
      <t>(bei 2ha)</t>
    </r>
  </si>
  <si>
    <t>In der Praxis ist meist eine Kombination der vorhandenen verfahren( Grünfutter, Silage, Heu, Weide) gängig.</t>
  </si>
  <si>
    <t xml:space="preserve">Heu </t>
  </si>
  <si>
    <t>2.Schnitt</t>
  </si>
  <si>
    <t>3.Schnitt</t>
  </si>
  <si>
    <t>1.Schnitt</t>
  </si>
  <si>
    <t>Gesamtkosten Grünfutter</t>
  </si>
  <si>
    <t>Gesamtkosten Silage</t>
  </si>
  <si>
    <t>4.Schnitt</t>
  </si>
  <si>
    <t>Ertrag FM</t>
  </si>
  <si>
    <t>Wiese günstig 4xSilage</t>
  </si>
  <si>
    <t>Wiese 2xHeu</t>
  </si>
  <si>
    <t>Ballenpresse Heu je Stk.</t>
  </si>
  <si>
    <t>Wiese 3xHeu</t>
  </si>
  <si>
    <t>Wiese 4xHeu</t>
  </si>
  <si>
    <t>bei Abfuhr/nach Trocknung</t>
  </si>
  <si>
    <t>Heutrocknung</t>
  </si>
  <si>
    <t>dt/TM</t>
  </si>
  <si>
    <t>Festkosten Lagerraum Futter inkl. Heutrocknung</t>
  </si>
  <si>
    <t>Zaunmaterial</t>
  </si>
  <si>
    <t xml:space="preserve">Frischfutterernte, eigenmechanisiert, Ladewagen 4t Nm,28 m³, Übersaat alle fünf Jahre </t>
  </si>
  <si>
    <t>Die Futtervorlage (Silageentnahme, Heuentnahme, Vieh Auf/Abtrieb) wird der Tierhaltung angelastet.</t>
  </si>
  <si>
    <t>Wiese 3xGrünfutter</t>
  </si>
  <si>
    <t>Wiese 4xGrünfutter</t>
  </si>
  <si>
    <t>Wiese 3x Grassilage</t>
  </si>
  <si>
    <t>extensive Weide, fest eingezäunt</t>
  </si>
  <si>
    <t>2,2 Einh. (20-35 kg)</t>
  </si>
  <si>
    <t>Maissilage/ GPS: Folie, Anstrich, Säcke</t>
  </si>
  <si>
    <r>
      <t>Arbeitszeitbedarf</t>
    </r>
    <r>
      <rPr>
        <sz val="12"/>
        <rFont val="Arial"/>
        <family val="2"/>
      </rPr>
      <t xml:space="preserve"> gesamt</t>
    </r>
  </si>
  <si>
    <t xml:space="preserve">Ladewagen Silage </t>
  </si>
  <si>
    <t>Ladewagen Silage</t>
  </si>
  <si>
    <t>zweijähriges Kleegras, Blanksaat mit &lt; 50% Leguminosenanteil, 3-5 Schnitte Ladewagen Lohn</t>
  </si>
  <si>
    <t>105 €/Akh</t>
  </si>
  <si>
    <t>25-45 €</t>
  </si>
  <si>
    <t>30-50 €</t>
  </si>
  <si>
    <t>Kleegras Silage: Folie, Anstrich, Säcke</t>
  </si>
  <si>
    <t>Kleegras kleebetont Cobs</t>
  </si>
  <si>
    <t>Abtransprot Frischgut in €/dt Cobs</t>
  </si>
  <si>
    <t>Trocknung  €/dt Cobs     MwSt %=</t>
  </si>
  <si>
    <t>Leistungen A (Merfahrensabh. Ausgl.leist.)</t>
  </si>
  <si>
    <t>Grafiken zu den Vollkosten wichtiger Grünland- und Ackerbauverfahren</t>
  </si>
  <si>
    <t>HeuTr. 4(a)</t>
  </si>
  <si>
    <t>HTr.4(b)</t>
  </si>
  <si>
    <t>Ballen mit Trocknung</t>
  </si>
  <si>
    <t>Weide mit(a)</t>
  </si>
  <si>
    <t>Weide mit(b)</t>
  </si>
  <si>
    <t>Testfrucht</t>
  </si>
  <si>
    <t>ha insg.</t>
  </si>
  <si>
    <t>Gesamtertrag in TM je Ernteverfahren</t>
  </si>
  <si>
    <t>Summe muss 100 sein</t>
  </si>
  <si>
    <t>Gesamtkosten der Futterwerbung aus dem Grünland je MJ / NEL</t>
  </si>
  <si>
    <t>Grünland extensiv (Aufwuchs (brutto) 45 dt TM)</t>
  </si>
  <si>
    <t>Grünland mittel (Aufwuchs (brutto)60 dt TM)</t>
  </si>
  <si>
    <t>Grünland intensiv (Aufwuchs (brutto)75 dt TM)</t>
  </si>
  <si>
    <t>Kosten je MJ/ Nel bei den Ernteverfahren</t>
  </si>
  <si>
    <t>Kombinieren sie ihre betriebsindividuellen Futterkosten aus dem Grünland !</t>
  </si>
  <si>
    <t>a) Eingabe der vorhandenen Flächen der jeweiligen intensität in ha ( extensiv, mittel, hoch)</t>
  </si>
  <si>
    <t xml:space="preserve">b) Eingabe der jeweiligen Anteile der Nutzungsart (Grünfutter, Silage, Heu, Weide) in prozent an den Einzelnen Schnitten. </t>
  </si>
  <si>
    <t xml:space="preserve">  die Summe hierraus muß für jeden Schnitt 100 betragen !</t>
  </si>
  <si>
    <t>Kombinationsblatt Kosten der Mj Nel aus der Grünlandnutzung</t>
  </si>
  <si>
    <t xml:space="preserve">zweijähriges Kleegras, Blanksaat mit &gt; 50% Leguminosenanteil, 3-5 Schnitte </t>
  </si>
  <si>
    <t xml:space="preserve">zweijähriges Kleegras, Blanksaat mit &gt; 50% Leguminosenanteil, 3-5 Schnitte, Transport und Trocknung im Lohn </t>
  </si>
  <si>
    <t xml:space="preserve">   Variable Maschinenkosten (eig. Masch.)</t>
  </si>
  <si>
    <t xml:space="preserve">   Sonstige Kosten (Siloabdeckung, Hagelversicherung u.ä.)</t>
  </si>
  <si>
    <t>Mais/GPS-Silage festwalzen 30 t FM/ha</t>
  </si>
  <si>
    <t>Weide mit mittlerem Ertragsniveau</t>
  </si>
  <si>
    <t>Feste Kosten Lagerraum und Trocknung</t>
  </si>
  <si>
    <t>Zwf. (a)</t>
  </si>
  <si>
    <t>Zwf.(b)</t>
  </si>
  <si>
    <t xml:space="preserve">Landsberger Gemenge Zwischenfrucht </t>
  </si>
  <si>
    <t>Zwischenf. Landsberger Gemenge</t>
  </si>
  <si>
    <t>Ganzpflanzensilage Gerste-Erbse</t>
  </si>
  <si>
    <t xml:space="preserve">Ernte im Lohn, Silage im Flachsilo, kein Umbruch da nachfolgende Frucht (z.B.Kleegras) als Untersaat etabliert wird </t>
  </si>
  <si>
    <t>Ganzpflanzensilage Gerste-Erbsen (50:50)</t>
  </si>
  <si>
    <t>7,00 €/Stk</t>
  </si>
  <si>
    <t>8,20 €/Stk</t>
  </si>
  <si>
    <t>Silage Quaderballen nur wickeln inkl. Folie</t>
  </si>
  <si>
    <t>9,30 €/Stk</t>
  </si>
  <si>
    <t>6,50 €/Stk</t>
  </si>
  <si>
    <t>17 €/Stk</t>
  </si>
  <si>
    <t>Sommergerste-Erbsen Gemenge</t>
  </si>
  <si>
    <t>GPS GersteErbse(a)</t>
  </si>
  <si>
    <t>GPS G-E(b)</t>
  </si>
  <si>
    <t>Gerste</t>
  </si>
  <si>
    <t>Erbsen</t>
  </si>
  <si>
    <t>Neu</t>
  </si>
  <si>
    <t>130 €</t>
  </si>
  <si>
    <t>250 €</t>
  </si>
  <si>
    <t>170-305 €</t>
  </si>
  <si>
    <t>200 €</t>
  </si>
  <si>
    <t>90-170 €</t>
  </si>
  <si>
    <t>110 €</t>
  </si>
  <si>
    <r>
      <t>Silage inkl. Wickeln (1,2 m³, 1,8 dt TM/m</t>
    </r>
    <r>
      <rPr>
        <vertAlign val="superscript"/>
        <sz val="12"/>
        <rFont val="Arial"/>
        <family val="2"/>
      </rPr>
      <t>3</t>
    </r>
    <r>
      <rPr>
        <sz val="12"/>
        <rFont val="Arial"/>
        <family val="2"/>
      </rPr>
      <t>, 30-38 dt TM/ha)</t>
    </r>
  </si>
  <si>
    <r>
      <t>Heu   (1,5 m</t>
    </r>
    <r>
      <rPr>
        <vertAlign val="superscript"/>
        <sz val="12"/>
        <rFont val="Arial"/>
        <family val="2"/>
      </rPr>
      <t>3</t>
    </r>
    <r>
      <rPr>
        <sz val="12"/>
        <rFont val="Arial"/>
        <family val="2"/>
      </rPr>
      <t>, 1,8 dt FM/m</t>
    </r>
    <r>
      <rPr>
        <vertAlign val="superscript"/>
        <sz val="12"/>
        <rFont val="Arial"/>
        <family val="2"/>
      </rPr>
      <t>3</t>
    </r>
    <r>
      <rPr>
        <sz val="12"/>
        <rFont val="Arial"/>
        <family val="2"/>
      </rPr>
      <t>, 30-40 dt FM/ha)</t>
    </r>
  </si>
  <si>
    <r>
      <t>Stroh (1,5 m</t>
    </r>
    <r>
      <rPr>
        <vertAlign val="superscript"/>
        <sz val="12"/>
        <rFont val="Arial"/>
        <family val="2"/>
      </rPr>
      <t>3</t>
    </r>
    <r>
      <rPr>
        <sz val="12"/>
        <rFont val="Arial"/>
        <family val="2"/>
      </rPr>
      <t>, 1,5 dt FM /m</t>
    </r>
    <r>
      <rPr>
        <vertAlign val="superscript"/>
        <sz val="12"/>
        <rFont val="Arial"/>
        <family val="2"/>
      </rPr>
      <t>3</t>
    </r>
    <r>
      <rPr>
        <sz val="12"/>
        <rFont val="Arial"/>
        <family val="2"/>
      </rPr>
      <t>, 30-50 dt FM/ha)</t>
    </r>
  </si>
  <si>
    <r>
      <t>Stroh (Ø1,5 m, 1,8 m</t>
    </r>
    <r>
      <rPr>
        <vertAlign val="superscript"/>
        <sz val="12"/>
        <rFont val="Arial"/>
        <family val="2"/>
      </rPr>
      <t>3</t>
    </r>
    <r>
      <rPr>
        <sz val="12"/>
        <rFont val="Arial"/>
        <family val="2"/>
      </rPr>
      <t>, 1,5 dt FM/m</t>
    </r>
    <r>
      <rPr>
        <vertAlign val="superscript"/>
        <sz val="12"/>
        <rFont val="Arial"/>
        <family val="2"/>
      </rPr>
      <t>3</t>
    </r>
    <r>
      <rPr>
        <sz val="12"/>
        <rFont val="Arial"/>
        <family val="2"/>
      </rPr>
      <t>, 30-50 dt FM/ha)</t>
    </r>
  </si>
  <si>
    <t>90-155 €</t>
  </si>
  <si>
    <t>125 €</t>
  </si>
  <si>
    <t>80-105 €</t>
  </si>
  <si>
    <t>85 €</t>
  </si>
  <si>
    <t>70-125 €</t>
  </si>
  <si>
    <t>210-290 €</t>
  </si>
  <si>
    <t>105-150 €</t>
  </si>
  <si>
    <t>keine automatische Verknüpfung mit den Berechnungsgrundlagen bis auf Gülleausbringung</t>
  </si>
  <si>
    <t>Gülle ausbringen (automatische Verwendung bei Rücklieferung Biogas)</t>
  </si>
  <si>
    <t>!alle Werte inkl. Fahrer und Treibstoff, jedoch ohne Mwst.!</t>
  </si>
  <si>
    <t>50</t>
  </si>
  <si>
    <t>ha/h (t je ha)</t>
  </si>
  <si>
    <t>€/ha(€/t)</t>
  </si>
  <si>
    <t xml:space="preserve"> (15t)</t>
  </si>
  <si>
    <t>(20t)</t>
  </si>
  <si>
    <t>(25t)</t>
  </si>
  <si>
    <t xml:space="preserve">50-35    </t>
  </si>
  <si>
    <t>(3,5-1,5 €)</t>
  </si>
  <si>
    <t>Stallmiststreuer (8-12 t zGG.je zus. t 4 €)</t>
  </si>
  <si>
    <r>
      <t>Ladewagen o. Dosierwalzen, 20 m</t>
    </r>
    <r>
      <rPr>
        <vertAlign val="superscript"/>
        <sz val="11"/>
        <rFont val="Arial"/>
        <family val="2"/>
      </rPr>
      <t>3</t>
    </r>
  </si>
  <si>
    <t xml:space="preserve">Fahrsilo, Silierwagen im Lohn, Übersaat alle fünf Jahre </t>
  </si>
  <si>
    <t>2x Heu, Ballenpressen in Lohn, ohne Trocknungskosten, keine Übersaat</t>
  </si>
  <si>
    <t>3x Heu, Ballenpressen im Lohn, ohne Trocknungskosten, keine Übersaat</t>
  </si>
  <si>
    <t xml:space="preserve">4x Heu, eigenmechanisiert, Rundballen, 1. und 4. Schnitt mit Trocknung, Übersaat alle fünf Jahre </t>
  </si>
  <si>
    <t>Silierwagen</t>
  </si>
  <si>
    <t xml:space="preserve"> Hier werden die Festkosten für Wiese abzgl. Heckmähwerk, Kreislwender und Kreiselschwader angenommen</t>
  </si>
  <si>
    <t>Luzerne (rein)</t>
  </si>
  <si>
    <t>Trocknungsheu</t>
  </si>
  <si>
    <t>&amp; Legum.)</t>
  </si>
  <si>
    <t>(Mineralböd.</t>
  </si>
  <si>
    <t>kg N/dt TM</t>
  </si>
  <si>
    <t>-</t>
  </si>
  <si>
    <t>Zu-/Abschl. kg/dt TM Ertrag</t>
  </si>
  <si>
    <t xml:space="preserve">kg/dt Abfuhr </t>
  </si>
  <si>
    <t>Aufwuchs</t>
  </si>
  <si>
    <t xml:space="preserve">zweijährige Luzerne, 3-5 Schnitte, Ernte als Grünfutter </t>
  </si>
  <si>
    <t>Luzerne (rein) Grünfutter</t>
  </si>
  <si>
    <t>Luzerne Heu getrocknet</t>
  </si>
  <si>
    <t>zweijährige Luzerne, Transport im Lohn, eigene Trocknung Rundballen</t>
  </si>
  <si>
    <t>Luzerne grün (reine Luzerne)</t>
  </si>
  <si>
    <t>Luzerne Heu getr. (reine Luzerne)</t>
  </si>
  <si>
    <t>Landsberger Gemenge Zwfr. Silage</t>
  </si>
  <si>
    <t>Lagerraum und Trocknung</t>
  </si>
  <si>
    <t>(2,5 €/t)</t>
  </si>
  <si>
    <t>Heu   (Ø1,2 m, 1,5 m³, 1,8 dt FM/m³, 30-40 dt FM/ha)</t>
  </si>
  <si>
    <t>65-90 €</t>
  </si>
  <si>
    <t>80 €</t>
  </si>
  <si>
    <t>KGCobs(b)</t>
  </si>
  <si>
    <t>LuzHeuTr(a)</t>
  </si>
  <si>
    <t>LuzHeuTr(b)</t>
  </si>
  <si>
    <t>KGCobs(a)</t>
  </si>
  <si>
    <r>
      <t xml:space="preserve">Kleegras Cobs </t>
    </r>
    <r>
      <rPr>
        <b/>
        <u/>
        <sz val="14"/>
        <rFont val="Arial"/>
        <family val="2"/>
      </rPr>
      <t>Klee</t>
    </r>
    <r>
      <rPr>
        <b/>
        <sz val="14"/>
        <rFont val="Arial"/>
        <family val="2"/>
      </rPr>
      <t>-betont</t>
    </r>
  </si>
  <si>
    <t xml:space="preserve">Cobs </t>
  </si>
  <si>
    <t>Abfuhr Grüngut ab Feld bis ca. 35 km Kosten je dt Cobs</t>
  </si>
  <si>
    <t>450</t>
  </si>
  <si>
    <t>360-540€</t>
  </si>
  <si>
    <t>Fahrsilo, Silierwagen im Lohn, keine Übersaat</t>
  </si>
  <si>
    <t xml:space="preserve"> 4 Nutz. HeuTrock</t>
  </si>
  <si>
    <t>einen GAP Prämienschätzer zur Kalkulation der ZA finden Sie hier:</t>
  </si>
  <si>
    <t>weitere Informationen zu Maßnahmen und Kombinationen von FAKT, der Kalkulation der ZA und zur AZL finden sie unter:</t>
  </si>
  <si>
    <t>Bleibt die Nährstoffabfuhr unberücksichtigt, wird ein geschlossener Betriebskreislauf unterstellt. Analog muss der Düngerwert aus der Tierhaltung dann auch unbewertet bleiben.</t>
  </si>
  <si>
    <t>Reparaturen/</t>
  </si>
  <si>
    <t>Silotransp Mais/GPS 30 t FM/ha (8t  Nutzm. je Fuhre)</t>
  </si>
  <si>
    <t>NÄBI, DüngeVo und….</t>
  </si>
  <si>
    <t>Feste Masch.kosten, €/ha (mit MwSt.)</t>
  </si>
  <si>
    <t>1)</t>
  </si>
  <si>
    <t>/Cobs</t>
  </si>
  <si>
    <t>Zwischenfrüchte tragen keine Maschinen und Gebäude FESTkosten</t>
  </si>
  <si>
    <t>Silage Abtransport im Lohn, Heu Pressen im Lohn, Silomais &amp; GPS = Häckseln im Lohn</t>
  </si>
  <si>
    <t>Acker-flächen ohne FuBau</t>
  </si>
  <si>
    <t xml:space="preserve"> FuBau</t>
  </si>
  <si>
    <t xml:space="preserve">   Düngung (Nettoentzug bewertet)</t>
  </si>
  <si>
    <t>Ladewagen Heu 2,3 t FM/ha (20 m³, 4 t Nutzl.)+Gebläse</t>
  </si>
  <si>
    <t>Inhalt-zu den einzelnen Punkten anklicken</t>
  </si>
  <si>
    <t>FAKT (A 1.2) mind. 5 gliedrige FF (Ökokombi)</t>
  </si>
  <si>
    <t>Direktzahlungssystem aus  Basisprämie, Greening-Zahlung, Umverteilungsprämie, Junglandwirteprämie.Ökobetriebe erfüllen bereits per se die Greening-Verpflichtung.</t>
  </si>
  <si>
    <t>2016 reduziert nach KTBL Faustzahlen s:279 0,30 Akh/ha für Weidezaun auf/abbauen + Tränkefass füllen--Auftrieb und Abtrieb werden den Tieren zugeordnet !!!</t>
  </si>
  <si>
    <t>Standweide</t>
  </si>
  <si>
    <t>Umtriebsweide</t>
  </si>
  <si>
    <t>Zaunkosten Portions/Umtriebsweide</t>
  </si>
  <si>
    <t>Betreuung Umtriebsweide pauschal</t>
  </si>
  <si>
    <t xml:space="preserve">         nach Konservierungsverlusten:</t>
  </si>
  <si>
    <t xml:space="preserve">           nach Feldverlusten</t>
  </si>
  <si>
    <t>aus dem Förderprogramm für Agrarumwelt, Klimaschutz und Tierwohl. Alle Prämiern stehen unter Vorbehalt.</t>
  </si>
  <si>
    <t xml:space="preserve">Saatgut </t>
  </si>
  <si>
    <t>Saatgutpreise sind nicht mit den Be- rechnungsgrundlagen verknüpft und müssen für die Kalkulation direkt dort verändert werden.</t>
  </si>
  <si>
    <t>Rotklee</t>
  </si>
  <si>
    <t xml:space="preserve"> 5- 6</t>
  </si>
  <si>
    <t xml:space="preserve">Datengrundlage: KTBL Betriebsplanung in der Landwirtschaft (2014/15), KTBL Ökologischer Landbau Daten für die Betriebsplanung (2010), KTBL Ökologischer Feldgemüsebau betriebswirtschaftliche Kalkulation (2013), KTBL Faustzahlen für den Öko. Landbau (2015)                  </t>
  </si>
  <si>
    <t>Preis Diesel aktuell  in €/l inkl. Mehrwertsteuer</t>
  </si>
  <si>
    <t>Agrardiesel €/l</t>
  </si>
  <si>
    <t>1) Festkosten Wiese Grünfutter abzgl. Kreiselwender/Schwader und Heckmähwerk =</t>
  </si>
  <si>
    <t>intensive Weide, Übersaat alle 5 Jahre</t>
  </si>
  <si>
    <t>Aufsatteldrehpflug, 2,10 m</t>
  </si>
  <si>
    <t>ha LF</t>
  </si>
  <si>
    <t>davon:</t>
  </si>
  <si>
    <t>Betriebsdaten:</t>
  </si>
  <si>
    <t>kein Ansatz von Feldverlusten analog Kalkdaten Marktfrüchte</t>
  </si>
  <si>
    <r>
      <t xml:space="preserve">Saat Anf. Sept.,Frühj. Ernte im Flachsilo. </t>
    </r>
    <r>
      <rPr>
        <b/>
        <i/>
        <sz val="10"/>
        <rFont val="Arial"/>
        <family val="2"/>
      </rPr>
      <t xml:space="preserve"> Ohne Anrechnung der Festkosten Maschinen/Gebäude und keine Bioprämie da diese von der Hauptkultur getragen werden. </t>
    </r>
  </si>
  <si>
    <t>Nährstoffeintrag N laut Näbi, andere Quellen  kalkulieren mit höherem N Eintrag KTBL (188 kg / ha)</t>
  </si>
  <si>
    <t>Nährstoffeintrag N laut Näbi, andere Quellen  kalkulieren mit höherem N Eintrag KTBL (155 kg / ha)</t>
  </si>
  <si>
    <t>Preise</t>
  </si>
  <si>
    <t>var. Kosten Trocknung Grascobs ab Schwad</t>
  </si>
  <si>
    <t>Amt für ernährung Landwirtschaft und Forsten (Kempten) : Aufruf März 2015</t>
  </si>
  <si>
    <t>Umtriebsweide mittel</t>
  </si>
  <si>
    <r>
      <t xml:space="preserve">Bei den </t>
    </r>
    <r>
      <rPr>
        <b/>
        <u/>
        <sz val="12"/>
        <color rgb="FF000000"/>
        <rFont val="Arial"/>
        <family val="2"/>
      </rPr>
      <t xml:space="preserve">Düngungskosten </t>
    </r>
    <r>
      <rPr>
        <sz val="12"/>
        <color rgb="FF000000"/>
        <rFont val="Arial"/>
        <family val="2"/>
      </rPr>
      <t>wird der Netto-Nährstoffentzug aus der ertragsabhängigen Abfuhr der Pflanzenmasse als Aufwand unterstellt. Je nach Herkunft des Düngers ( Zukauf, Tierhaltung, Leguminosenanbau) muss der Nährstoffwert letztendlich betriebsindividuell gerechnet werden. Der aus dem Blatt "Preise" vorgegebenen Wert stellt einen Mischkalkulation auf Basis  der DLG/ Band 202 "Betriebszweigabrechnung im öko. Ackerbau" dar.</t>
    </r>
  </si>
  <si>
    <r>
      <t>Kosten für</t>
    </r>
    <r>
      <rPr>
        <b/>
        <u/>
        <sz val="12"/>
        <color rgb="FF000000"/>
        <rFont val="Arial"/>
        <family val="2"/>
      </rPr>
      <t xml:space="preserve"> Lohnarbeitskräfte </t>
    </r>
    <r>
      <rPr>
        <sz val="12"/>
        <color rgb="FF000000"/>
        <rFont val="Arial"/>
        <family val="2"/>
      </rPr>
      <t>und</t>
    </r>
    <r>
      <rPr>
        <b/>
        <sz val="12"/>
        <color rgb="FF000000"/>
        <rFont val="Arial"/>
        <family val="2"/>
      </rPr>
      <t xml:space="preserve"> sonst. variable Kosten </t>
    </r>
    <r>
      <rPr>
        <sz val="12"/>
        <color rgb="FF000000"/>
        <rFont val="Arial"/>
        <family val="2"/>
      </rPr>
      <t xml:space="preserve">können frei bzw. teilweise über Zahlencodes aus  dem Blatt "Preise"  eingegeben werden.  </t>
    </r>
  </si>
  <si>
    <r>
      <t xml:space="preserve">Der </t>
    </r>
    <r>
      <rPr>
        <b/>
        <u/>
        <sz val="12"/>
        <color rgb="FF000000"/>
        <rFont val="Arial"/>
        <family val="2"/>
      </rPr>
      <t xml:space="preserve">Deckungsbeitrag ohne Ausgleichsleistungen und Zinsansatz </t>
    </r>
    <r>
      <rPr>
        <sz val="12"/>
        <color rgb="FF000000"/>
        <rFont val="Arial"/>
        <family val="2"/>
      </rPr>
      <t xml:space="preserve">beinhaltet lediglich die veränderlichen Kosten. Er dient als Wert für Betriebsplanungen. Begründung: die verfahrensspezifischen Prämien (z.B. FAKT, Ausgleichszulage) sind flächenabhängig gedeckelt d.h. ihre Ausdehnung im einzelnen Betrieb ist nur begrenzt oder gar nicht möglich. </t>
    </r>
  </si>
  <si>
    <r>
      <t>Achtung: Hier wird nur der Gehalt MJ Nel bewertet, es fehlt die Bewertung des</t>
    </r>
    <r>
      <rPr>
        <b/>
        <sz val="26"/>
        <color rgb="FFFF0000"/>
        <rFont val="Arial"/>
        <family val="2"/>
      </rPr>
      <t xml:space="preserve"> Rohproteins,</t>
    </r>
    <r>
      <rPr>
        <sz val="26"/>
        <color rgb="FFFF0000"/>
        <rFont val="Arial"/>
        <family val="2"/>
      </rPr>
      <t xml:space="preserve"> dass in der Futterbewertung ebenfalls einen wichtigen Stellenwert einnimmt.</t>
    </r>
  </si>
  <si>
    <t>Wird ein geschlossener Betriebskreislauf unterstellt, kann die Nährstoffabfuhr im Blatt Preise ausgeschalten werden.</t>
  </si>
  <si>
    <t xml:space="preserve">Nährstoffpreise ab 2017: Ktbl, Faustzahlen für den Ökologischen Landbau. </t>
  </si>
  <si>
    <t>7-15</t>
  </si>
  <si>
    <t>15-32</t>
  </si>
  <si>
    <t>80-120</t>
  </si>
  <si>
    <t>60- 90</t>
  </si>
  <si>
    <t>10-20</t>
  </si>
  <si>
    <t>14-40</t>
  </si>
  <si>
    <t>10-14</t>
  </si>
  <si>
    <t>Ktbl (2015): Faustzahlen für den Ökologischen Landbau</t>
  </si>
  <si>
    <t>Bioland Saatgutkatalog</t>
  </si>
  <si>
    <t>Preisliste Camena Samen 2017</t>
  </si>
  <si>
    <t>150-220</t>
  </si>
  <si>
    <t>Bioland Markt</t>
  </si>
  <si>
    <t>Saaten Union</t>
  </si>
  <si>
    <t>Weide: Faustzahlen Öko S.263</t>
  </si>
  <si>
    <t>KTBL 2016/17: Betriebsplanung Landwirtschaft S.463</t>
  </si>
  <si>
    <t>KTBL (2016/17): S. 73</t>
  </si>
  <si>
    <t>KTBL (2016/17): S. 73+78</t>
  </si>
  <si>
    <t>KTBL (2016/17): S. 91+171</t>
  </si>
  <si>
    <t>KTBL (2016/17): S. 91+170</t>
  </si>
  <si>
    <t>KTBL (2016/17): S. 96+172</t>
  </si>
  <si>
    <t>KTBL (2016/17): S. 91+172 (eine Überfahrt)</t>
  </si>
  <si>
    <t>KTBL (2016/17): S. 94+170 (tief, schräg zur Hauptarbeitsrichtung)</t>
  </si>
  <si>
    <t>KTBL (2016/17): S. 105+185</t>
  </si>
  <si>
    <t>KTBL (2016/17)mechanisch: S. 104+85+184</t>
  </si>
  <si>
    <t>KTBL (2016/17): S. 91+94 +104+184</t>
  </si>
  <si>
    <t>KTBL (2016/17): S. 104+184</t>
  </si>
  <si>
    <t>KTBL (2016/17): S. 96+104+184</t>
  </si>
  <si>
    <t>nach KTBL (2016/17): S. 109+190</t>
  </si>
  <si>
    <t>KTBL (2016/17): S. 85+195</t>
  </si>
  <si>
    <t>KTBL Faustzahlen für den Öko Landbau (2015) S.180+376</t>
  </si>
  <si>
    <t>nach KTBL (2016/17) S. 114+208+512 und 3 dt je Ballen (= ca. 7 Ballen /ha bei 2,3 t FM Heu je ha); KTBL Faustzahlen Öko (2015) S. 185</t>
  </si>
  <si>
    <t>nach KTBL (2016/17) S. 115+211 und 10 dt je Ballen (=ca. 4 Ballen /ha bei 4,1 t FM silo je ha)</t>
  </si>
  <si>
    <t>KTBL (2016/17): S.93+170</t>
  </si>
  <si>
    <t>KTBL (2016/17): S.96+189</t>
  </si>
  <si>
    <t>KTBL (2015/16) S. 85+ 211 Doppelzug/ 8 Ballen je Anhänger</t>
  </si>
  <si>
    <t>Transp.Heu RB 3,15 t FM/ha, 2*3,2 t/Nm inkl. Laden/Abladen</t>
  </si>
  <si>
    <t>nach KTBL (2016/17) S.85+ 208 Doppelzug/ 8 Ballen je Anhänger mit  angepasster AKh7 Ballen je ha</t>
  </si>
  <si>
    <t>KTBL (2016/17) S.116+ 210</t>
  </si>
  <si>
    <t>KTBL (2016/17) S. 210</t>
  </si>
  <si>
    <t>nach KTBL (2016/17) S.448 +437</t>
  </si>
  <si>
    <t>KTBL (2016/17) S.110+ 204</t>
  </si>
  <si>
    <t>KTBL (2016/17) S.111+ 204</t>
  </si>
  <si>
    <t>KTBL (2016/17) S.112+ 204</t>
  </si>
  <si>
    <t>KTBL (2016/17) S.113+205</t>
  </si>
  <si>
    <t>Kreiselwender 10,75 m</t>
  </si>
  <si>
    <t>KTBL (2016/17) S.114+205</t>
  </si>
  <si>
    <t>KTBL (2016/17): S.189; KTBL (2014/2015): S.88</t>
  </si>
  <si>
    <t>KTBL (2016/17): S.73</t>
  </si>
  <si>
    <t>KTBL (2016/17): S.88</t>
  </si>
  <si>
    <t>Grubber angeb. 3 m</t>
  </si>
  <si>
    <t>KTBL (2016/17): S.91</t>
  </si>
  <si>
    <t>KTBL (2016/17): S.96+104</t>
  </si>
  <si>
    <t>Reihenhackgerät 4 reihig</t>
  </si>
  <si>
    <t>KTBL Faustzahlen ÖKO (2015): S.170</t>
  </si>
  <si>
    <t>KTBL Faustzahlen ÖKO (2015): S.180</t>
  </si>
  <si>
    <t>KTBL (2016/17): S.96</t>
  </si>
  <si>
    <t>KTBL (2016/17): S.111</t>
  </si>
  <si>
    <t>Frontmähwerk 2,7 m mit Aufber.</t>
  </si>
  <si>
    <t>KTBL (2016/17): S.113</t>
  </si>
  <si>
    <t>KTBL (2016/17): S.100</t>
  </si>
  <si>
    <t>KTBL (2016/17): S.102</t>
  </si>
  <si>
    <t>KTBL (2016/17): S.116</t>
  </si>
  <si>
    <t>Frontlader 2100 daN</t>
  </si>
  <si>
    <t>KTBL (2016/17): S.78</t>
  </si>
  <si>
    <t xml:space="preserve">KtBL S.416+417: 17,6 t/ha Ertrag x 1,66 m³/t Raumbedarf =29,4m³/ha Lagerraumbedarf
7,35 (0,25x 29,4)x0,32 (Sandsäcke 3 Jahre Nutzung)=2,35
2,35+0,43*47=22,5
</t>
  </si>
  <si>
    <t>KTBL ÖKO (2017): S. 110+207</t>
  </si>
  <si>
    <t>KTBL ÖKO (2017):S.112+208</t>
  </si>
  <si>
    <t>KTBL ÖKO (2017): S. 106+110+202</t>
  </si>
  <si>
    <t>KTBL ÖKO (2017): S.117+213</t>
  </si>
  <si>
    <t>Grünabfuhr+ Mähwerk (15 t FM/ha, 2,4 t Nutzl.)</t>
  </si>
  <si>
    <t>KTBL 2016/17) S.116+110 nach KTBL ÖKO (2017) S.470</t>
  </si>
  <si>
    <t>KTBL ÖKO (2017) S.231+125; KTBL(2016/2017) S.118</t>
  </si>
  <si>
    <t>KTBL (2016/17) S. 85+ 216-bei  vier Reihen Arbeitsbreite</t>
  </si>
  <si>
    <t>KTBL (2016/17) S. 216-bei  vier Reihen Arbeitsbreite</t>
  </si>
  <si>
    <t>KTBL ÖKO (2017) S. 65 +eigene Annahmen bei 20 km/h Geschwindigkeit</t>
  </si>
  <si>
    <t>KTBL ÖKO (2017) S.242</t>
  </si>
  <si>
    <t>KTBL ÖKO (2017) S.250+ S. 253</t>
  </si>
  <si>
    <t>Näbi-KTBL ÖKO (2017) S.252 + S. 253</t>
  </si>
  <si>
    <t>KTBL (2016/17) S. 219</t>
  </si>
  <si>
    <t>KTBL ÖKO Management (2004) S.213 ff+ KTBL ÖKO (2017) S.252+ S. 253</t>
  </si>
  <si>
    <t>KTBL ÖKO (2017) S.252 ÖKO Management (2004) S. 216</t>
  </si>
  <si>
    <t>KTBL ÖKO (2017) S.252</t>
  </si>
  <si>
    <t xml:space="preserve">KTBL ÖKO (2017) S.252 </t>
  </si>
  <si>
    <t>KTBL ÖKO (2017) S.247</t>
  </si>
  <si>
    <t>KTBL ÖKO (2017) S.530</t>
  </si>
  <si>
    <t>KTBL ÖKO (2017)S.110</t>
  </si>
  <si>
    <t>KTBL ÖKO (2017)S.112</t>
  </si>
  <si>
    <t>KTBL ÖKO (2017) S.114</t>
  </si>
  <si>
    <t>KTBL ÖKO (2010) S. 98</t>
  </si>
  <si>
    <t>KTBL ÖKO (2017) S.202</t>
  </si>
  <si>
    <r>
      <t xml:space="preserve">Datengrundlage:KTBL Betriebsplanung in der Landwirtschaft (2016/17), Maschinenring Verrechnungssätze für BW 2017-2018, Angaben von Lohnunternhmern (bei einem Dieselpreis von ca. 1,20 € inkl. MwSt., Lohn Fahrer ca. 16,50 €/h)                                                                 </t>
    </r>
    <r>
      <rPr>
        <b/>
        <sz val="12"/>
        <rFont val="Arial"/>
        <family val="2"/>
      </rPr>
      <t xml:space="preserve"> 
Die tatsächlichen Kosten unterliegen erfahrungsgemäß einer großen Spannweite aufgrund unterschiedlicher Flächenstruktur der Betriebe, Arbeitsleistungen/ha und Erträgen/ha!</t>
    </r>
  </si>
  <si>
    <t>KTBL ÖKO (2017) S.203</t>
  </si>
  <si>
    <t>Nr. 240+Nr.15*0,53 Akh/ha</t>
  </si>
  <si>
    <t>Nr. 102+Nr.19*1,42 Akh/ha</t>
  </si>
  <si>
    <t>KTBL ÖKO (2017) S.185</t>
  </si>
  <si>
    <t>Grubbern (5,0 m Flügelgrubber)</t>
  </si>
  <si>
    <t>Nr.117+Nr.16*1,08 Akh/ha</t>
  </si>
  <si>
    <t>KTBL ÖKO (2017) S.186</t>
  </si>
  <si>
    <t>Nr.143+Nr.17*1,01 Akh/ha</t>
  </si>
  <si>
    <t xml:space="preserve">KTBL ÖKO (2017) S.238 </t>
  </si>
  <si>
    <t>Nr. 341+Nr.17*1,48 Akh/ha+Nr.15*4,42+(Nr.18+Nr.357)*1,47+77 (35t=77m³)*1,2</t>
  </si>
  <si>
    <t>ab 350 €/ha</t>
  </si>
  <si>
    <t>140 €/ha</t>
  </si>
  <si>
    <t>KTBL ÖKO (2017) S.238</t>
  </si>
  <si>
    <t>Nr.345A+0,28€*300kW*0,69Akh/ha</t>
  </si>
  <si>
    <t>KTBL ÖKO (2017) S.237</t>
  </si>
  <si>
    <t>Nr.345A*0,46+275*0,28*0,46</t>
  </si>
  <si>
    <t>KTBL ÖKO (2017) S.229</t>
  </si>
  <si>
    <r>
      <t>Silierkette Grünland:</t>
    </r>
    <r>
      <rPr>
        <sz val="12"/>
        <rFont val="Arial"/>
        <family val="2"/>
      </rPr>
      <t xml:space="preserve">  </t>
    </r>
  </si>
  <si>
    <r>
      <t xml:space="preserve">Großpacken </t>
    </r>
    <r>
      <rPr>
        <sz val="12"/>
        <rFont val="Arial"/>
        <family val="2"/>
      </rPr>
      <t>(0,70x1,20x1,80 m)</t>
    </r>
  </si>
  <si>
    <t>Silage inkl. Folie (30-38 dt TM/ha)</t>
  </si>
  <si>
    <t>KTBL Faustzahlen (2015) S.223</t>
  </si>
  <si>
    <t>Erstellung: LEL Schwäbisch Gmünd mit Unterstützung der Ökoberatungsdienste Ulm und Schwäbisch Hall, 01.10.2016</t>
  </si>
  <si>
    <t>Semo Bio Katalog 2018, Bay Wa Online Shop 08-2018</t>
  </si>
  <si>
    <t>3,00-5,00</t>
  </si>
  <si>
    <t>5,90-6,40</t>
  </si>
  <si>
    <t>110-130</t>
  </si>
  <si>
    <t>Pflanzenschutzspritze 0,3m³/ha, 18 m, 600 l</t>
  </si>
  <si>
    <t>Ackergras 3-4 schnittig</t>
  </si>
  <si>
    <t>Ackergras , 3-4 schnittig</t>
  </si>
  <si>
    <t>DüV 2017</t>
  </si>
  <si>
    <t>Werte Frischmasse!</t>
  </si>
  <si>
    <t>nur Frischmasse Werte nach DüV</t>
  </si>
  <si>
    <t>90-140</t>
  </si>
  <si>
    <r>
      <t>Datengrundlage:</t>
    </r>
    <r>
      <rPr>
        <sz val="10"/>
        <color rgb="FFFF0000"/>
        <rFont val="Arial"/>
        <family val="2"/>
      </rPr>
      <t>DüV 2017;</t>
    </r>
    <r>
      <rPr>
        <sz val="10"/>
        <rFont val="Arial"/>
        <family val="2"/>
      </rPr>
      <t xml:space="preserve">LAZBW Mb. Nr. 13 Umweltgerechte Landwirtschaft 2008, KTBL Betriebsplanung in der Landwirtschaft (2014/15), KTBL Ökologischer Landbau Daten für die Betriebsplanung (2010); KTBL Management- Handbuch für die ökologische Landwirtschaft 2004, dsv Saaten, NÄBI- LEL   </t>
    </r>
  </si>
  <si>
    <t>Mähweide, 60% Weideanteil</t>
  </si>
  <si>
    <t>Mähweide, 20% Weideanteil</t>
  </si>
  <si>
    <t>Weide extensiv</t>
  </si>
  <si>
    <t>nach DüV</t>
  </si>
  <si>
    <t>P;K;Mg =0</t>
  </si>
  <si>
    <t xml:space="preserve"> 08/2018</t>
  </si>
  <si>
    <t xml:space="preserve"> ©  Landesanstalt für Landwirtschaft, Ernährung und ländlichen Raum (LEL),Oberbettringer Str. 162,  73525 Schwäbisch Gmünd</t>
  </si>
  <si>
    <t>N Rücklieferung angepasst an DüV2017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</si>
</sst>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6" formatCode="#,##0\ &quot;€&quot;;[Red]\-#,##0\ &quot;€&quot;"/>
    <numFmt numFmtId="164" formatCode="_-* #,##0\ _D_M_-;\-* #,##0\ _D_M_-;_-* &quot;-&quot;\ _D_M_-;_-@_-"/>
    <numFmt numFmtId="165" formatCode="_-* #,##0.00\ _D_M_-;\-* #,##0.00\ _D_M_-;_-* &quot;-&quot;??\ _D_M_-;_-@_-"/>
    <numFmt numFmtId="166" formatCode="0.0"/>
    <numFmt numFmtId="167" formatCode="_-* #,##0\ _D_M_-;\-* #,##0\ _D_M_-;_-* &quot;-&quot;??\ _D_M_-;_-@_-"/>
    <numFmt numFmtId="168" formatCode="0\ \ "/>
    <numFmt numFmtId="169" formatCode="0.00\ \ "/>
    <numFmt numFmtId="170" formatCode="#,##0\ \ "/>
    <numFmt numFmtId="171" formatCode="0.00\ "/>
    <numFmt numFmtId="172" formatCode="#,##0\ \ \ \ \ "/>
    <numFmt numFmtId="173" formatCode="#,##0\ \ \ \ \ \ "/>
    <numFmt numFmtId="174" formatCode="0\ \ \ \ \ "/>
    <numFmt numFmtId="175" formatCode="0.00\ \ \ \ "/>
    <numFmt numFmtId="176" formatCode="0.00\ \ \ "/>
    <numFmt numFmtId="177" formatCode="#,##0\ \ \ "/>
    <numFmt numFmtId="178" formatCode="0.0\ \ \ \ \ "/>
    <numFmt numFmtId="179" formatCode="0.0\ \ \ "/>
    <numFmt numFmtId="180" formatCode="0\ "/>
    <numFmt numFmtId="181" formatCode="0.0\ "/>
    <numFmt numFmtId="182" formatCode="0.0\ \ "/>
    <numFmt numFmtId="183" formatCode="0.00\ \ \ \ \ "/>
    <numFmt numFmtId="184" formatCode="General\ \ "/>
    <numFmt numFmtId="185" formatCode="#,##0\ "/>
    <numFmt numFmtId="186" formatCode="\ \ @\ "/>
    <numFmt numFmtId="187" formatCode="#,##0.00\ "/>
    <numFmt numFmtId="188" formatCode="#,##0.0"/>
    <numFmt numFmtId="189" formatCode="#,##0.0\ "/>
    <numFmt numFmtId="190" formatCode="0\ \ \ "/>
    <numFmt numFmtId="191" formatCode="0\ \ \ \ "/>
    <numFmt numFmtId="192" formatCode="0&quot; DM/AKh&quot;"/>
    <numFmt numFmtId="193" formatCode="@\ \ "/>
    <numFmt numFmtId="194" formatCode="\ @"/>
    <numFmt numFmtId="195" formatCode="#,##0.0\ \ "/>
    <numFmt numFmtId="196" formatCode="#,##0.00\ \ "/>
    <numFmt numFmtId="197" formatCode="#,##0&quot; /&quot;"/>
    <numFmt numFmtId="198" formatCode="0&quot; DM/m3        &quot;"/>
    <numFmt numFmtId="199" formatCode="@\ \ \ \ \ \ \ \ \ \ \ \ \ "/>
    <numFmt numFmtId="200" formatCode="#,##0.00__"/>
    <numFmt numFmtId="201" formatCode="d/m/yy"/>
    <numFmt numFmtId="202" formatCode="#,##0.00\ &quot;€&quot;"/>
    <numFmt numFmtId="203" formatCode="#,##0.0\ &quot;€&quot;"/>
    <numFmt numFmtId="204" formatCode="#,##0\ &quot;€&quot;"/>
    <numFmt numFmtId="205" formatCode="0%;0%;[Black]0%"/>
    <numFmt numFmtId="206" formatCode="#,##0.00\ &quot;€/m3&quot;\ "/>
    <numFmt numFmtId="207" formatCode="0.00\ &quot;€/m3&quot;"/>
    <numFmt numFmtId="208" formatCode="0\ &quot;m3&quot;"/>
    <numFmt numFmtId="209" formatCode="_-* #,##0.00\ [$€]_-;\-* #,##0.00\ [$€]_-;_-* &quot;-&quot;??\ [$€]_-;_-@_-"/>
    <numFmt numFmtId="210" formatCode="d/m/yy;@"/>
  </numFmts>
  <fonts count="145" x14ac:knownFonts="1">
    <font>
      <sz val="10"/>
      <name val="Arial"/>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sz val="11"/>
      <name val="Arial"/>
      <family val="2"/>
    </font>
    <font>
      <b/>
      <sz val="10"/>
      <name val="Arial"/>
      <family val="2"/>
    </font>
    <font>
      <sz val="10"/>
      <name val="Arial"/>
      <family val="2"/>
    </font>
    <font>
      <sz val="10"/>
      <name val="Helv"/>
    </font>
    <font>
      <b/>
      <sz val="14"/>
      <name val="Arial"/>
      <family val="2"/>
    </font>
    <font>
      <b/>
      <sz val="13"/>
      <name val="Arial"/>
      <family val="2"/>
    </font>
    <font>
      <b/>
      <sz val="12"/>
      <name val="Arial"/>
      <family val="2"/>
    </font>
    <font>
      <i/>
      <sz val="12"/>
      <name val="Arial"/>
      <family val="2"/>
    </font>
    <font>
      <sz val="12"/>
      <name val="Arial"/>
      <family val="2"/>
    </font>
    <font>
      <sz val="14"/>
      <name val="Arial"/>
      <family val="2"/>
    </font>
    <font>
      <sz val="13"/>
      <name val="Arial"/>
      <family val="2"/>
    </font>
    <font>
      <b/>
      <sz val="13"/>
      <name val="Arial"/>
      <family val="2"/>
    </font>
    <font>
      <sz val="12"/>
      <name val="Arial"/>
      <family val="2"/>
    </font>
    <font>
      <b/>
      <sz val="12"/>
      <name val="Arial"/>
      <family val="2"/>
    </font>
    <font>
      <b/>
      <sz val="16"/>
      <name val="Arial"/>
      <family val="2"/>
    </font>
    <font>
      <sz val="11"/>
      <name val="Arial"/>
      <family val="2"/>
    </font>
    <font>
      <b/>
      <i/>
      <sz val="12"/>
      <name val="Arial"/>
      <family val="2"/>
    </font>
    <font>
      <b/>
      <sz val="11"/>
      <name val="Arial"/>
      <family val="2"/>
    </font>
    <font>
      <b/>
      <sz val="11"/>
      <name val="Arial"/>
      <family val="2"/>
    </font>
    <font>
      <sz val="11"/>
      <name val="Arial"/>
      <family val="2"/>
    </font>
    <font>
      <i/>
      <sz val="14"/>
      <name val="Arial"/>
      <family val="2"/>
    </font>
    <font>
      <b/>
      <sz val="14"/>
      <name val="Arial"/>
      <family val="2"/>
    </font>
    <font>
      <sz val="14"/>
      <name val="Arial"/>
      <family val="2"/>
    </font>
    <font>
      <b/>
      <sz val="16"/>
      <name val="Arial"/>
      <family val="2"/>
    </font>
    <font>
      <b/>
      <i/>
      <sz val="11"/>
      <name val="Arial"/>
      <family val="2"/>
    </font>
    <font>
      <vertAlign val="subscript"/>
      <sz val="12"/>
      <name val="Arial"/>
      <family val="2"/>
    </font>
    <font>
      <sz val="10"/>
      <name val="Arial"/>
      <family val="2"/>
    </font>
    <font>
      <vertAlign val="superscript"/>
      <sz val="11"/>
      <name val="Arial"/>
      <family val="2"/>
    </font>
    <font>
      <b/>
      <sz val="18"/>
      <name val="Arial"/>
      <family val="2"/>
    </font>
    <font>
      <b/>
      <sz val="10"/>
      <name val="Arial"/>
      <family val="2"/>
    </font>
    <font>
      <vertAlign val="superscript"/>
      <sz val="10"/>
      <name val="Arial"/>
      <family val="2"/>
    </font>
    <font>
      <vertAlign val="subscript"/>
      <sz val="11"/>
      <name val="Arial"/>
      <family val="2"/>
    </font>
    <font>
      <sz val="16"/>
      <name val="Arial"/>
      <family val="2"/>
    </font>
    <font>
      <sz val="9"/>
      <name val="Arial"/>
      <family val="2"/>
    </font>
    <font>
      <sz val="16"/>
      <name val="Arial"/>
      <family val="2"/>
    </font>
    <font>
      <b/>
      <sz val="20"/>
      <name val="Arial"/>
      <family val="2"/>
    </font>
    <font>
      <sz val="13"/>
      <name val="Arial"/>
      <family val="2"/>
    </font>
    <font>
      <b/>
      <sz val="13.5"/>
      <name val="Arial"/>
      <family val="2"/>
    </font>
    <font>
      <vertAlign val="subscript"/>
      <sz val="10"/>
      <name val="Arial"/>
      <family val="2"/>
    </font>
    <font>
      <sz val="11"/>
      <color indexed="10"/>
      <name val="Arial"/>
      <family val="2"/>
    </font>
    <font>
      <sz val="11"/>
      <color indexed="12"/>
      <name val="Arial"/>
      <family val="2"/>
    </font>
    <font>
      <b/>
      <sz val="11"/>
      <color indexed="10"/>
      <name val="Arial"/>
      <family val="2"/>
    </font>
    <font>
      <b/>
      <sz val="11"/>
      <color indexed="12"/>
      <name val="Arial"/>
      <family val="2"/>
    </font>
    <font>
      <b/>
      <vertAlign val="superscript"/>
      <sz val="10"/>
      <name val="Arial"/>
      <family val="2"/>
    </font>
    <font>
      <u/>
      <sz val="7"/>
      <color indexed="12"/>
      <name val="Arial"/>
      <family val="2"/>
    </font>
    <font>
      <b/>
      <sz val="12"/>
      <color indexed="8"/>
      <name val="Arial"/>
      <family val="2"/>
    </font>
    <font>
      <sz val="10"/>
      <color indexed="8"/>
      <name val="Arial"/>
      <family val="2"/>
    </font>
    <font>
      <b/>
      <sz val="10"/>
      <color indexed="10"/>
      <name val="Arial"/>
      <family val="2"/>
    </font>
    <font>
      <b/>
      <u/>
      <sz val="14"/>
      <name val="Arial"/>
      <family val="2"/>
    </font>
    <font>
      <b/>
      <vertAlign val="superscript"/>
      <sz val="12"/>
      <name val="Arial"/>
      <family val="2"/>
    </font>
    <font>
      <b/>
      <i/>
      <sz val="10"/>
      <name val="Arial"/>
      <family val="2"/>
    </font>
    <font>
      <i/>
      <sz val="10"/>
      <name val="Arial"/>
      <family val="2"/>
    </font>
    <font>
      <b/>
      <i/>
      <sz val="12"/>
      <name val="Arial"/>
      <family val="2"/>
    </font>
    <font>
      <sz val="8"/>
      <name val="Arial"/>
      <family val="2"/>
    </font>
    <font>
      <b/>
      <vertAlign val="superscript"/>
      <sz val="18"/>
      <name val="Arial"/>
      <family val="2"/>
    </font>
    <font>
      <vertAlign val="superscript"/>
      <sz val="12"/>
      <name val="Arial"/>
      <family val="2"/>
    </font>
    <font>
      <b/>
      <sz val="12"/>
      <color indexed="10"/>
      <name val="Arial"/>
      <family val="2"/>
    </font>
    <font>
      <sz val="8"/>
      <color indexed="81"/>
      <name val="Tahoma"/>
      <family val="2"/>
    </font>
    <font>
      <sz val="12"/>
      <color indexed="10"/>
      <name val="Arial"/>
      <family val="2"/>
    </font>
    <font>
      <vertAlign val="superscript"/>
      <sz val="14"/>
      <name val="Arial"/>
      <family val="2"/>
    </font>
    <font>
      <b/>
      <sz val="9"/>
      <name val="Arial"/>
      <family val="2"/>
    </font>
    <font>
      <b/>
      <i/>
      <sz val="9"/>
      <name val="Arial"/>
      <family val="2"/>
    </font>
    <font>
      <sz val="10"/>
      <color indexed="56"/>
      <name val="Arial"/>
      <family val="2"/>
    </font>
    <font>
      <b/>
      <sz val="9"/>
      <color indexed="56"/>
      <name val="Arial"/>
      <family val="2"/>
    </font>
    <font>
      <sz val="10"/>
      <color indexed="12"/>
      <name val="Arial"/>
      <family val="2"/>
    </font>
    <font>
      <b/>
      <sz val="10"/>
      <color indexed="12"/>
      <name val="Arial"/>
      <family val="2"/>
    </font>
    <font>
      <sz val="10"/>
      <color indexed="81"/>
      <name val="Tahoma"/>
      <family val="2"/>
    </font>
    <font>
      <u/>
      <sz val="10"/>
      <name val="Arial"/>
      <family val="2"/>
    </font>
    <font>
      <b/>
      <i/>
      <sz val="12"/>
      <color indexed="10"/>
      <name val="Arial"/>
      <family val="2"/>
    </font>
    <font>
      <sz val="14"/>
      <color indexed="10"/>
      <name val="Arial"/>
      <family val="2"/>
    </font>
    <font>
      <sz val="10"/>
      <color indexed="10"/>
      <name val="Arial"/>
      <family val="2"/>
    </font>
    <font>
      <b/>
      <i/>
      <sz val="14"/>
      <name val="Arial"/>
      <family val="2"/>
    </font>
    <font>
      <b/>
      <sz val="8"/>
      <color indexed="81"/>
      <name val="Tahoma"/>
      <family val="2"/>
    </font>
    <font>
      <b/>
      <sz val="15"/>
      <name val="Arial"/>
      <family val="2"/>
    </font>
    <font>
      <b/>
      <vertAlign val="superscript"/>
      <sz val="13"/>
      <name val="Arial"/>
      <family val="2"/>
    </font>
    <font>
      <b/>
      <sz val="10.5"/>
      <name val="Arial"/>
      <family val="2"/>
    </font>
    <font>
      <b/>
      <u/>
      <sz val="11"/>
      <name val="Arial"/>
      <family val="2"/>
    </font>
    <font>
      <i/>
      <sz val="12"/>
      <name val="Arial"/>
      <family val="2"/>
    </font>
    <font>
      <i/>
      <sz val="12"/>
      <color indexed="10"/>
      <name val="Arial"/>
      <family val="2"/>
    </font>
    <font>
      <b/>
      <sz val="14"/>
      <color indexed="18"/>
      <name val="Arial"/>
      <family val="2"/>
    </font>
    <font>
      <sz val="10"/>
      <color indexed="18"/>
      <name val="Arial"/>
      <family val="2"/>
    </font>
    <font>
      <sz val="15"/>
      <name val="Arial"/>
      <family val="2"/>
    </font>
    <font>
      <b/>
      <u/>
      <sz val="14"/>
      <color indexed="12"/>
      <name val="Arial"/>
      <family val="2"/>
    </font>
    <font>
      <u/>
      <sz val="14"/>
      <name val="Arial"/>
      <family val="2"/>
    </font>
    <font>
      <b/>
      <sz val="14"/>
      <name val="Arial Narrow"/>
      <family val="2"/>
    </font>
    <font>
      <b/>
      <vertAlign val="superscript"/>
      <sz val="14"/>
      <name val="Arial Narrow"/>
      <family val="2"/>
    </font>
    <font>
      <sz val="10"/>
      <color indexed="10"/>
      <name val="Arial"/>
      <family val="2"/>
    </font>
    <font>
      <b/>
      <sz val="14"/>
      <color rgb="FFFF0000"/>
      <name val="Arial"/>
      <family val="2"/>
    </font>
    <font>
      <sz val="10"/>
      <color rgb="FFFF0000"/>
      <name val="Arial"/>
      <family val="2"/>
    </font>
    <font>
      <sz val="14"/>
      <color rgb="FFFF0000"/>
      <name val="Arial"/>
      <family val="2"/>
    </font>
    <font>
      <sz val="8"/>
      <color rgb="FFFF0000"/>
      <name val="Arial"/>
      <family val="2"/>
    </font>
    <font>
      <u/>
      <sz val="10"/>
      <color indexed="12"/>
      <name val="Arial"/>
      <family val="2"/>
    </font>
    <font>
      <b/>
      <sz val="16"/>
      <color rgb="FFFF0000"/>
      <name val="Arial"/>
      <family val="2"/>
    </font>
    <font>
      <sz val="11"/>
      <color indexed="8"/>
      <name val="Arial"/>
      <family val="2"/>
    </font>
    <font>
      <b/>
      <u/>
      <sz val="9"/>
      <name val="Arial"/>
      <family val="2"/>
    </font>
    <font>
      <b/>
      <u/>
      <sz val="12"/>
      <name val="Arial"/>
      <family val="2"/>
    </font>
    <font>
      <b/>
      <sz val="12"/>
      <color rgb="FFFF0000"/>
      <name val="Arial"/>
      <family val="2"/>
    </font>
    <font>
      <sz val="18"/>
      <name val="Arial"/>
      <family val="2"/>
    </font>
    <font>
      <sz val="20"/>
      <name val="Arial"/>
      <family val="2"/>
    </font>
    <font>
      <b/>
      <u/>
      <sz val="12"/>
      <color rgb="FFFF0000"/>
      <name val="Arial"/>
      <family val="2"/>
    </font>
    <font>
      <b/>
      <u/>
      <vertAlign val="superscript"/>
      <sz val="14"/>
      <name val="Arial"/>
      <family val="2"/>
    </font>
    <font>
      <b/>
      <u/>
      <sz val="20"/>
      <name val="Arial"/>
      <family val="2"/>
    </font>
    <font>
      <b/>
      <sz val="24"/>
      <name val="Arial"/>
      <family val="2"/>
    </font>
    <font>
      <b/>
      <u/>
      <sz val="24"/>
      <name val="Arial"/>
      <family val="2"/>
    </font>
    <font>
      <b/>
      <sz val="11"/>
      <color rgb="FFFF0000"/>
      <name val="Arial"/>
      <family val="2"/>
    </font>
    <font>
      <sz val="12"/>
      <color rgb="FF0070C0"/>
      <name val="Arial"/>
      <family val="2"/>
    </font>
    <font>
      <b/>
      <sz val="12"/>
      <color rgb="FF0070C0"/>
      <name val="Arial"/>
      <family val="2"/>
    </font>
    <font>
      <b/>
      <sz val="16"/>
      <color rgb="FF000000"/>
      <name val="Arial"/>
      <family val="2"/>
    </font>
    <font>
      <sz val="12"/>
      <color rgb="FF000000"/>
      <name val="Arial"/>
      <family val="2"/>
    </font>
    <font>
      <sz val="16"/>
      <color rgb="FF000000"/>
      <name val="Arial"/>
      <family val="2"/>
    </font>
    <font>
      <b/>
      <sz val="12"/>
      <color rgb="FF000000"/>
      <name val="Arial"/>
      <family val="2"/>
    </font>
    <font>
      <b/>
      <u/>
      <sz val="12"/>
      <color rgb="FF0070C0"/>
      <name val="Arial"/>
      <family val="2"/>
    </font>
    <font>
      <sz val="9"/>
      <color rgb="FF000000"/>
      <name val="Arial"/>
      <family val="2"/>
    </font>
    <font>
      <sz val="12"/>
      <color rgb="FF000000"/>
      <name val="Calibri"/>
      <family val="2"/>
    </font>
    <font>
      <sz val="8"/>
      <color rgb="FF000000"/>
      <name val="Arial"/>
      <family val="2"/>
    </font>
    <font>
      <b/>
      <u/>
      <sz val="12"/>
      <color rgb="FF000000"/>
      <name val="Arial"/>
      <family val="2"/>
    </font>
    <font>
      <i/>
      <sz val="12"/>
      <color rgb="FF000000"/>
      <name val="Arial"/>
      <family val="2"/>
    </font>
    <font>
      <b/>
      <i/>
      <sz val="12"/>
      <color rgb="FF000000"/>
      <name val="Arial"/>
      <family val="2"/>
    </font>
    <font>
      <u/>
      <sz val="12"/>
      <color rgb="FF000000"/>
      <name val="Arial"/>
      <family val="2"/>
    </font>
    <font>
      <strike/>
      <sz val="12"/>
      <name val="Arial"/>
      <family val="2"/>
    </font>
    <font>
      <u/>
      <sz val="7.2"/>
      <color indexed="12"/>
      <name val="Arial"/>
      <family val="2"/>
    </font>
    <font>
      <b/>
      <i/>
      <sz val="8"/>
      <name val="Arial"/>
      <family val="2"/>
    </font>
    <font>
      <sz val="8"/>
      <color indexed="10"/>
      <name val="Arial"/>
      <family val="2"/>
    </font>
    <font>
      <b/>
      <sz val="28"/>
      <name val="Arial"/>
      <family val="2"/>
    </font>
    <font>
      <sz val="26"/>
      <color rgb="FFFF0000"/>
      <name val="Arial"/>
      <family val="2"/>
    </font>
    <font>
      <b/>
      <sz val="26"/>
      <color rgb="FFFF0000"/>
      <name val="Arial"/>
      <family val="2"/>
    </font>
    <font>
      <b/>
      <sz val="12"/>
      <color indexed="81"/>
      <name val="Tahoma"/>
      <family val="2"/>
    </font>
    <font>
      <sz val="12"/>
      <color rgb="FFFF0000"/>
      <name val="Arial"/>
      <family val="2"/>
    </font>
    <font>
      <sz val="11"/>
      <color rgb="FFFF0000"/>
      <name val="Arial"/>
      <family val="2"/>
    </font>
    <font>
      <sz val="10"/>
      <color theme="3" tint="0.39997558519241921"/>
      <name val="Arial"/>
      <family val="2"/>
    </font>
    <font>
      <sz val="10"/>
      <color theme="1"/>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theme="0"/>
        <bgColor indexed="64"/>
      </patternFill>
    </fill>
    <fill>
      <patternFill patternType="solid">
        <fgColor rgb="FF92D050"/>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47"/>
        <bgColor rgb="FFFFFFCC"/>
      </patternFill>
    </fill>
    <fill>
      <patternFill patternType="solid">
        <fgColor rgb="FFFFC000"/>
        <bgColor indexed="64"/>
      </patternFill>
    </fill>
    <fill>
      <patternFill patternType="solid">
        <fgColor rgb="FFFFCC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77111117893"/>
        <bgColor indexed="8"/>
      </patternFill>
    </fill>
    <fill>
      <patternFill patternType="gray125">
        <bgColor indexed="42"/>
      </patternFill>
    </fill>
    <fill>
      <patternFill patternType="solid">
        <fgColor rgb="FFFFFF99"/>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0000"/>
        <bgColor indexed="64"/>
      </patternFill>
    </fill>
  </fills>
  <borders count="171">
    <border>
      <left/>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bottom style="dashed">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hair">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hair">
        <color indexed="64"/>
      </top>
      <bottom style="thin">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hair">
        <color indexed="64"/>
      </left>
      <right style="hair">
        <color indexed="64"/>
      </right>
      <top style="medium">
        <color indexed="64"/>
      </top>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tted">
        <color indexed="64"/>
      </left>
      <right/>
      <top style="thin">
        <color indexed="64"/>
      </top>
      <bottom/>
      <diagonal/>
    </border>
    <border>
      <left style="thin">
        <color indexed="64"/>
      </left>
      <right style="thin">
        <color indexed="64"/>
      </right>
      <top style="hair">
        <color indexed="64"/>
      </top>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right style="hair">
        <color indexed="64"/>
      </right>
      <top/>
      <bottom style="medium">
        <color indexed="64"/>
      </bottom>
      <diagonal/>
    </border>
    <border>
      <left/>
      <right style="hair">
        <color indexed="64"/>
      </right>
      <top style="thin">
        <color indexed="64"/>
      </top>
      <bottom style="hair">
        <color indexed="64"/>
      </bottom>
      <diagonal/>
    </border>
    <border>
      <left style="hair">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209" fontId="16" fillId="0" borderId="0" applyFont="0" applyFill="0" applyBorder="0" applyAlignment="0" applyProtection="0"/>
    <xf numFmtId="206" fontId="29" fillId="0" borderId="1">
      <alignment horizontal="center" vertical="center"/>
    </xf>
    <xf numFmtId="0" fontId="58" fillId="0" borderId="0" applyNumberFormat="0" applyFill="0" applyBorder="0" applyAlignment="0" applyProtection="0">
      <alignment vertical="top"/>
      <protection locked="0"/>
    </xf>
    <xf numFmtId="165" fontId="16" fillId="0" borderId="0" applyFont="0" applyFill="0" applyBorder="0" applyAlignment="0" applyProtection="0"/>
    <xf numFmtId="4" fontId="16" fillId="0" borderId="2">
      <alignment vertical="center"/>
    </xf>
    <xf numFmtId="9" fontId="16" fillId="0" borderId="0" applyFont="0" applyFill="0" applyBorder="0" applyAlignment="0" applyProtection="0"/>
    <xf numFmtId="9" fontId="16" fillId="0" borderId="0" applyFont="0" applyFill="0" applyBorder="0" applyAlignment="0" applyProtection="0"/>
    <xf numFmtId="0" fontId="17" fillId="0" borderId="0"/>
    <xf numFmtId="0" fontId="16" fillId="0" borderId="0"/>
    <xf numFmtId="170" fontId="11" fillId="15" borderId="36">
      <alignment horizontal="right" vertical="center"/>
    </xf>
    <xf numFmtId="0" fontId="16" fillId="0" borderId="0"/>
    <xf numFmtId="0" fontId="134" fillId="0" borderId="0" applyNumberFormat="0" applyFill="0" applyBorder="0" applyAlignment="0" applyProtection="0">
      <alignment vertical="top"/>
      <protection locked="0"/>
    </xf>
    <xf numFmtId="4" fontId="16" fillId="0" borderId="52">
      <alignment vertical="center" shrinkToFit="1"/>
    </xf>
    <xf numFmtId="0" fontId="136" fillId="0" borderId="0">
      <alignment horizontal="center"/>
    </xf>
  </cellStyleXfs>
  <cellXfs count="3411">
    <xf numFmtId="0" fontId="0" fillId="0" borderId="0" xfId="0"/>
    <xf numFmtId="0" fontId="21" fillId="0" borderId="0" xfId="0" applyFont="1" applyAlignment="1">
      <alignment vertical="center"/>
    </xf>
    <xf numFmtId="0" fontId="22" fillId="0" borderId="3" xfId="0" applyFont="1" applyBorder="1" applyAlignment="1">
      <alignment vertical="center"/>
    </xf>
    <xf numFmtId="0" fontId="22" fillId="0" borderId="0" xfId="0" applyFont="1" applyBorder="1" applyAlignment="1">
      <alignment vertical="center"/>
    </xf>
    <xf numFmtId="0" fontId="22" fillId="0" borderId="3" xfId="8" applyFont="1" applyBorder="1" applyAlignment="1">
      <alignment vertical="center"/>
    </xf>
    <xf numFmtId="0" fontId="22" fillId="0" borderId="3" xfId="8" applyFont="1" applyBorder="1" applyAlignment="1" applyProtection="1">
      <alignment vertical="center"/>
    </xf>
    <xf numFmtId="0" fontId="19" fillId="0" borderId="4" xfId="8" applyFont="1" applyBorder="1" applyAlignment="1" applyProtection="1">
      <alignment vertical="center"/>
    </xf>
    <xf numFmtId="0" fontId="0" fillId="0" borderId="0" xfId="0" applyBorder="1" applyAlignment="1">
      <alignment vertical="center"/>
    </xf>
    <xf numFmtId="0" fontId="0" fillId="0" borderId="0" xfId="0" applyAlignment="1">
      <alignment vertical="center"/>
    </xf>
    <xf numFmtId="0" fontId="25" fillId="0" borderId="0" xfId="8" applyFont="1" applyBorder="1" applyAlignment="1" applyProtection="1">
      <alignment vertical="center"/>
    </xf>
    <xf numFmtId="0" fontId="24" fillId="0" borderId="5" xfId="8" applyFont="1" applyBorder="1" applyAlignment="1" applyProtection="1">
      <alignment vertical="center"/>
    </xf>
    <xf numFmtId="0" fontId="24" fillId="0" borderId="3" xfId="8" applyFont="1" applyBorder="1" applyAlignment="1" applyProtection="1">
      <alignment vertical="center"/>
    </xf>
    <xf numFmtId="0" fontId="25" fillId="0" borderId="3" xfId="8" applyFont="1" applyBorder="1" applyAlignment="1" applyProtection="1">
      <alignment vertical="center"/>
    </xf>
    <xf numFmtId="0" fontId="26" fillId="0" borderId="6" xfId="8" applyFont="1" applyBorder="1" applyAlignment="1" applyProtection="1">
      <alignment horizontal="left" vertical="center"/>
    </xf>
    <xf numFmtId="0" fontId="19" fillId="0" borderId="7" xfId="0" applyFont="1" applyBorder="1" applyAlignment="1">
      <alignment vertical="center"/>
    </xf>
    <xf numFmtId="0" fontId="22" fillId="0" borderId="6" xfId="8" applyFont="1" applyBorder="1" applyAlignment="1" applyProtection="1">
      <alignment vertical="center"/>
    </xf>
    <xf numFmtId="0" fontId="22" fillId="0" borderId="0" xfId="8" applyFont="1" applyBorder="1" applyAlignment="1">
      <alignment vertical="center"/>
    </xf>
    <xf numFmtId="0" fontId="22" fillId="0" borderId="0" xfId="8" applyFont="1" applyBorder="1" applyAlignment="1" applyProtection="1">
      <alignment vertical="center"/>
    </xf>
    <xf numFmtId="173" fontId="20" fillId="2" borderId="8" xfId="0" applyNumberFormat="1" applyFont="1" applyFill="1" applyBorder="1" applyAlignment="1">
      <alignment horizontal="right" vertical="center"/>
    </xf>
    <xf numFmtId="0" fontId="26" fillId="0" borderId="0" xfId="8" applyFont="1" applyBorder="1" applyAlignment="1" applyProtection="1">
      <alignment horizontal="left" vertical="center"/>
    </xf>
    <xf numFmtId="173" fontId="26" fillId="0" borderId="9" xfId="0" applyNumberFormat="1" applyFont="1" applyBorder="1" applyAlignment="1">
      <alignment horizontal="right" vertical="center"/>
    </xf>
    <xf numFmtId="173" fontId="26" fillId="2" borderId="9" xfId="0" applyNumberFormat="1" applyFont="1" applyFill="1" applyBorder="1" applyAlignment="1">
      <alignment horizontal="right" vertical="center"/>
    </xf>
    <xf numFmtId="173" fontId="26" fillId="0" borderId="8" xfId="0" applyNumberFormat="1" applyFont="1" applyBorder="1" applyAlignment="1">
      <alignment horizontal="right" vertical="center"/>
    </xf>
    <xf numFmtId="173" fontId="26" fillId="2" borderId="8" xfId="0" applyNumberFormat="1" applyFont="1" applyFill="1" applyBorder="1" applyAlignment="1">
      <alignment horizontal="right" vertical="center"/>
    </xf>
    <xf numFmtId="0" fontId="26" fillId="0" borderId="0" xfId="0" applyFont="1" applyBorder="1" applyAlignment="1">
      <alignment horizontal="left" vertical="center"/>
    </xf>
    <xf numFmtId="0" fontId="26" fillId="0" borderId="10" xfId="8" applyFont="1" applyBorder="1" applyAlignment="1" applyProtection="1">
      <alignment horizontal="left" vertical="center"/>
    </xf>
    <xf numFmtId="0" fontId="19" fillId="0" borderId="0" xfId="0" applyFont="1" applyBorder="1" applyAlignment="1">
      <alignment vertical="center"/>
    </xf>
    <xf numFmtId="0" fontId="25" fillId="0" borderId="6" xfId="8" applyFont="1" applyBorder="1" applyAlignment="1" applyProtection="1">
      <alignment vertical="center"/>
    </xf>
    <xf numFmtId="0" fontId="0" fillId="0" borderId="0" xfId="0" applyAlignment="1">
      <alignment horizontal="centerContinuous" vertical="top"/>
    </xf>
    <xf numFmtId="0" fontId="0" fillId="0" borderId="0" xfId="0" applyAlignment="1">
      <alignment vertical="top"/>
    </xf>
    <xf numFmtId="0" fontId="18" fillId="0" borderId="0" xfId="0" applyFont="1" applyAlignment="1">
      <alignment horizontal="right" vertical="top"/>
    </xf>
    <xf numFmtId="0" fontId="23" fillId="0" borderId="0" xfId="0" applyFont="1" applyAlignment="1">
      <alignment horizontal="right" vertical="top"/>
    </xf>
    <xf numFmtId="0" fontId="28" fillId="0" borderId="0" xfId="0" applyFont="1" applyBorder="1" applyAlignment="1">
      <alignment horizontal="right" vertical="top"/>
    </xf>
    <xf numFmtId="0" fontId="0" fillId="0" borderId="0" xfId="0" applyBorder="1" applyAlignment="1">
      <alignment vertical="top"/>
    </xf>
    <xf numFmtId="0" fontId="16" fillId="0" borderId="0" xfId="0" applyFont="1" applyBorder="1" applyAlignment="1">
      <alignment horizontal="left" vertical="top"/>
    </xf>
    <xf numFmtId="0" fontId="22" fillId="0" borderId="0" xfId="0" applyFont="1" applyBorder="1" applyAlignment="1">
      <alignment vertical="top"/>
    </xf>
    <xf numFmtId="0" fontId="0" fillId="0" borderId="7" xfId="0" applyBorder="1"/>
    <xf numFmtId="0" fontId="27" fillId="0" borderId="7" xfId="0" applyFont="1" applyBorder="1" applyAlignment="1">
      <alignment vertical="center"/>
    </xf>
    <xf numFmtId="0" fontId="37" fillId="0" borderId="0" xfId="0" applyFont="1" applyBorder="1" applyAlignment="1">
      <alignment vertical="top"/>
    </xf>
    <xf numFmtId="0" fontId="36" fillId="0" borderId="0" xfId="0" applyFont="1" applyBorder="1" applyAlignment="1">
      <alignment horizontal="right" vertical="top"/>
    </xf>
    <xf numFmtId="0" fontId="25" fillId="0" borderId="5" xfId="8" applyFont="1" applyBorder="1" applyAlignment="1" applyProtection="1">
      <alignment vertical="center"/>
    </xf>
    <xf numFmtId="0" fontId="16" fillId="0" borderId="0" xfId="0" applyFont="1" applyBorder="1" applyAlignment="1">
      <alignment horizontal="left" vertical="center"/>
    </xf>
    <xf numFmtId="0" fontId="0" fillId="0" borderId="0" xfId="0" applyAlignment="1">
      <alignment horizontal="centerContinuous" vertical="center"/>
    </xf>
    <xf numFmtId="0" fontId="23" fillId="0" borderId="0" xfId="0" applyFont="1" applyAlignment="1">
      <alignment horizontal="right" vertical="center"/>
    </xf>
    <xf numFmtId="0" fontId="30" fillId="0" borderId="0" xfId="0" applyFont="1" applyAlignment="1">
      <alignment vertical="center"/>
    </xf>
    <xf numFmtId="0" fontId="27" fillId="0" borderId="5" xfId="0" applyFont="1" applyBorder="1" applyAlignment="1">
      <alignment vertical="center"/>
    </xf>
    <xf numFmtId="0" fontId="38" fillId="0" borderId="0" xfId="0" applyFont="1" applyAlignment="1">
      <alignment vertical="center"/>
    </xf>
    <xf numFmtId="0" fontId="31" fillId="0" borderId="3" xfId="0" applyFont="1" applyBorder="1" applyAlignment="1">
      <alignment vertical="center"/>
    </xf>
    <xf numFmtId="0" fontId="31" fillId="0" borderId="0" xfId="0" applyFont="1" applyBorder="1" applyAlignment="1">
      <alignment vertical="center"/>
    </xf>
    <xf numFmtId="0" fontId="29" fillId="0" borderId="0" xfId="0" applyFont="1" applyBorder="1" applyAlignment="1">
      <alignment vertical="center"/>
    </xf>
    <xf numFmtId="0" fontId="29" fillId="0" borderId="0" xfId="0" applyFont="1" applyAlignment="1">
      <alignment vertical="center"/>
    </xf>
    <xf numFmtId="0" fontId="29" fillId="0" borderId="3" xfId="0" applyFont="1" applyBorder="1" applyAlignment="1">
      <alignment vertical="center"/>
    </xf>
    <xf numFmtId="0" fontId="29" fillId="0" borderId="4" xfId="0" applyFont="1" applyBorder="1" applyAlignment="1">
      <alignment vertical="center"/>
    </xf>
    <xf numFmtId="0" fontId="29" fillId="0" borderId="7" xfId="0" applyFont="1" applyBorder="1" applyAlignment="1">
      <alignment vertical="center"/>
    </xf>
    <xf numFmtId="0" fontId="27" fillId="0" borderId="0" xfId="0" applyFont="1" applyBorder="1" applyAlignment="1">
      <alignment vertical="center"/>
    </xf>
    <xf numFmtId="0" fontId="22" fillId="0" borderId="6" xfId="0" applyFont="1" applyBorder="1" applyAlignment="1">
      <alignment vertical="center"/>
    </xf>
    <xf numFmtId="0" fontId="22" fillId="0" borderId="7" xfId="0" applyFont="1" applyBorder="1" applyAlignment="1">
      <alignment vertical="center"/>
    </xf>
    <xf numFmtId="0" fontId="18" fillId="0" borderId="5" xfId="0" applyFont="1" applyBorder="1" applyAlignment="1">
      <alignment vertical="center"/>
    </xf>
    <xf numFmtId="0" fontId="0" fillId="0" borderId="6" xfId="0" applyBorder="1" applyAlignment="1">
      <alignment vertical="center"/>
    </xf>
    <xf numFmtId="0" fontId="0" fillId="0" borderId="6" xfId="0" applyBorder="1" applyAlignment="1">
      <alignment horizontal="centerContinuous" vertical="center"/>
    </xf>
    <xf numFmtId="0" fontId="18" fillId="0" borderId="3" xfId="0" applyFont="1" applyBorder="1" applyAlignment="1">
      <alignment vertical="center"/>
    </xf>
    <xf numFmtId="0" fontId="26" fillId="0" borderId="5" xfId="0" applyFont="1" applyBorder="1" applyAlignment="1">
      <alignment horizontal="centerContinuous"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0" fillId="0" borderId="13" xfId="0" applyBorder="1" applyAlignment="1">
      <alignment horizontal="centerContinuous" vertical="center"/>
    </xf>
    <xf numFmtId="0" fontId="22" fillId="3" borderId="7" xfId="0" applyFont="1" applyFill="1" applyBorder="1" applyAlignment="1" applyProtection="1">
      <alignment vertical="center"/>
      <protection locked="0"/>
    </xf>
    <xf numFmtId="176" fontId="22" fillId="3" borderId="16" xfId="0" applyNumberFormat="1" applyFont="1" applyFill="1" applyBorder="1" applyAlignment="1" applyProtection="1">
      <alignment vertical="center"/>
      <protection locked="0"/>
    </xf>
    <xf numFmtId="176" fontId="22" fillId="3" borderId="17" xfId="0" applyNumberFormat="1" applyFont="1" applyFill="1" applyBorder="1" applyAlignment="1" applyProtection="1">
      <alignment vertical="center"/>
      <protection locked="0"/>
    </xf>
    <xf numFmtId="176" fontId="22" fillId="3" borderId="18" xfId="0" applyNumberFormat="1" applyFont="1" applyFill="1" applyBorder="1" applyAlignment="1" applyProtection="1">
      <alignment vertical="center"/>
      <protection locked="0"/>
    </xf>
    <xf numFmtId="176" fontId="22" fillId="3" borderId="19" xfId="0" applyNumberFormat="1" applyFont="1" applyFill="1" applyBorder="1" applyAlignment="1" applyProtection="1">
      <alignment vertical="center"/>
      <protection locked="0"/>
    </xf>
    <xf numFmtId="176" fontId="22" fillId="3" borderId="20" xfId="0" applyNumberFormat="1" applyFont="1" applyFill="1" applyBorder="1" applyAlignment="1" applyProtection="1">
      <alignment vertical="center"/>
      <protection locked="0"/>
    </xf>
    <xf numFmtId="0" fontId="37" fillId="4" borderId="0" xfId="0" applyFont="1" applyFill="1" applyAlignment="1" applyProtection="1">
      <alignment horizontal="right" vertical="top"/>
    </xf>
    <xf numFmtId="0" fontId="35" fillId="4" borderId="0" xfId="0" applyFont="1" applyFill="1" applyBorder="1" applyAlignment="1" applyProtection="1">
      <alignment horizontal="right" vertical="top"/>
    </xf>
    <xf numFmtId="0" fontId="22" fillId="3" borderId="0" xfId="0" applyFont="1" applyFill="1" applyBorder="1" applyAlignment="1" applyProtection="1">
      <alignment vertical="center"/>
      <protection locked="0"/>
    </xf>
    <xf numFmtId="0" fontId="0" fillId="0" borderId="7" xfId="0" applyBorder="1" applyAlignment="1">
      <alignment vertical="center"/>
    </xf>
    <xf numFmtId="0" fontId="36" fillId="0" borderId="0" xfId="0" applyFont="1" applyBorder="1" applyAlignment="1">
      <alignment horizontal="left" vertical="top"/>
    </xf>
    <xf numFmtId="0" fontId="29" fillId="0" borderId="21" xfId="0" applyFont="1" applyBorder="1" applyAlignment="1">
      <alignment vertical="center"/>
    </xf>
    <xf numFmtId="0" fontId="29" fillId="0" borderId="3" xfId="0" applyFont="1" applyBorder="1" applyAlignment="1" applyProtection="1">
      <alignment vertical="center"/>
    </xf>
    <xf numFmtId="0" fontId="29" fillId="0" borderId="0" xfId="0" applyFont="1" applyBorder="1" applyAlignment="1" applyProtection="1">
      <alignment vertical="center"/>
    </xf>
    <xf numFmtId="0" fontId="29" fillId="4" borderId="0" xfId="0" applyFont="1" applyFill="1" applyBorder="1" applyAlignment="1" applyProtection="1">
      <alignment vertical="center"/>
    </xf>
    <xf numFmtId="0" fontId="29" fillId="0" borderId="4" xfId="0" applyFont="1" applyBorder="1" applyAlignment="1" applyProtection="1">
      <alignment vertical="center"/>
    </xf>
    <xf numFmtId="0" fontId="29" fillId="0" borderId="7" xfId="0" applyFont="1" applyBorder="1" applyAlignment="1" applyProtection="1">
      <alignment vertical="center"/>
    </xf>
    <xf numFmtId="0" fontId="31" fillId="0" borderId="22" xfId="0" applyFont="1" applyBorder="1" applyAlignment="1">
      <alignment vertical="center"/>
    </xf>
    <xf numFmtId="0" fontId="29" fillId="0" borderId="22" xfId="0" applyFont="1" applyBorder="1" applyAlignment="1">
      <alignment horizontal="left" vertical="center"/>
    </xf>
    <xf numFmtId="0" fontId="0" fillId="0" borderId="22" xfId="0" applyBorder="1" applyAlignment="1">
      <alignment vertical="center"/>
    </xf>
    <xf numFmtId="0" fontId="29" fillId="0" borderId="23" xfId="0" applyFont="1" applyFill="1" applyBorder="1" applyAlignment="1">
      <alignment horizontal="center" vertical="center"/>
    </xf>
    <xf numFmtId="170" fontId="29" fillId="3" borderId="18" xfId="0" applyNumberFormat="1" applyFont="1" applyFill="1" applyBorder="1" applyAlignment="1" applyProtection="1">
      <alignment horizontal="right" vertical="center"/>
      <protection locked="0"/>
    </xf>
    <xf numFmtId="166" fontId="29" fillId="3" borderId="22" xfId="0" applyNumberFormat="1" applyFont="1" applyFill="1" applyBorder="1" applyAlignment="1" applyProtection="1">
      <alignment horizontal="right" vertical="center"/>
      <protection locked="0"/>
    </xf>
    <xf numFmtId="0" fontId="0" fillId="0" borderId="24" xfId="0" applyBorder="1"/>
    <xf numFmtId="0" fontId="34" fillId="0" borderId="0" xfId="0" applyFont="1" applyAlignment="1">
      <alignment vertical="center"/>
    </xf>
    <xf numFmtId="0" fontId="33" fillId="0" borderId="0" xfId="0" applyFont="1" applyBorder="1" applyAlignment="1">
      <alignment horizontal="left" vertical="center"/>
    </xf>
    <xf numFmtId="0" fontId="33" fillId="0" borderId="7" xfId="0" applyFont="1" applyBorder="1" applyAlignment="1">
      <alignment horizontal="left" vertical="center"/>
    </xf>
    <xf numFmtId="0" fontId="27" fillId="0" borderId="3" xfId="0" applyFont="1" applyBorder="1" applyAlignment="1">
      <alignment vertical="center"/>
    </xf>
    <xf numFmtId="0" fontId="29" fillId="0" borderId="24" xfId="0" applyFont="1" applyBorder="1" applyAlignment="1">
      <alignment vertical="center"/>
    </xf>
    <xf numFmtId="0" fontId="33" fillId="0" borderId="7" xfId="0" applyFont="1" applyBorder="1" applyAlignment="1">
      <alignment vertical="center"/>
    </xf>
    <xf numFmtId="0" fontId="29" fillId="3" borderId="7" xfId="0" applyFont="1" applyFill="1" applyBorder="1" applyAlignment="1" applyProtection="1">
      <alignment vertical="center"/>
      <protection locked="0"/>
    </xf>
    <xf numFmtId="0" fontId="15" fillId="0" borderId="0" xfId="0" applyFont="1" applyAlignment="1">
      <alignment vertical="center"/>
    </xf>
    <xf numFmtId="0" fontId="0" fillId="0" borderId="10" xfId="0" applyBorder="1" applyAlignment="1">
      <alignment vertical="center"/>
    </xf>
    <xf numFmtId="0" fontId="29" fillId="0" borderId="0" xfId="0" applyFont="1" applyBorder="1" applyAlignment="1">
      <alignment horizontal="center" vertical="center"/>
    </xf>
    <xf numFmtId="0" fontId="22" fillId="0" borderId="25" xfId="0" applyFont="1" applyBorder="1" applyAlignment="1">
      <alignment vertical="center"/>
    </xf>
    <xf numFmtId="0" fontId="27" fillId="0" borderId="26" xfId="0" applyFont="1" applyBorder="1" applyAlignment="1">
      <alignment vertical="center"/>
    </xf>
    <xf numFmtId="0" fontId="22" fillId="0" borderId="26" xfId="0" applyFont="1" applyBorder="1" applyAlignment="1">
      <alignment vertical="center"/>
    </xf>
    <xf numFmtId="0" fontId="26" fillId="0" borderId="26" xfId="0" applyFont="1" applyBorder="1" applyAlignment="1">
      <alignment horizontal="left" vertical="center"/>
    </xf>
    <xf numFmtId="0" fontId="29" fillId="0" borderId="3" xfId="8" applyFont="1" applyBorder="1" applyAlignment="1" applyProtection="1">
      <alignment vertical="center"/>
    </xf>
    <xf numFmtId="0" fontId="29" fillId="0" borderId="0" xfId="8" applyFont="1" applyBorder="1" applyAlignment="1" applyProtection="1">
      <alignment vertical="center"/>
    </xf>
    <xf numFmtId="0" fontId="29" fillId="0" borderId="4" xfId="8" applyFont="1" applyBorder="1" applyAlignment="1" applyProtection="1">
      <alignment vertical="center"/>
    </xf>
    <xf numFmtId="0" fontId="29" fillId="0" borderId="7" xfId="8" applyFont="1" applyBorder="1" applyAlignment="1" applyProtection="1">
      <alignment vertical="center"/>
    </xf>
    <xf numFmtId="176" fontId="29" fillId="0" borderId="7" xfId="8" applyNumberFormat="1" applyFont="1" applyBorder="1" applyAlignment="1" applyProtection="1">
      <alignment vertical="center"/>
    </xf>
    <xf numFmtId="0" fontId="27" fillId="0" borderId="3" xfId="8" applyFont="1" applyBorder="1" applyAlignment="1">
      <alignment vertical="center"/>
    </xf>
    <xf numFmtId="0" fontId="27" fillId="0" borderId="0" xfId="8" applyFont="1" applyBorder="1" applyAlignment="1">
      <alignment vertical="center"/>
    </xf>
    <xf numFmtId="0" fontId="29" fillId="0" borderId="23" xfId="8" applyFont="1" applyBorder="1" applyAlignment="1">
      <alignment horizontal="center" vertical="center"/>
    </xf>
    <xf numFmtId="176" fontId="29" fillId="3" borderId="18" xfId="8" applyNumberFormat="1" applyFont="1" applyFill="1" applyBorder="1" applyAlignment="1" applyProtection="1">
      <alignment vertical="center"/>
      <protection locked="0"/>
    </xf>
    <xf numFmtId="168" fontId="29" fillId="3" borderId="18" xfId="8" applyNumberFormat="1" applyFont="1" applyFill="1" applyBorder="1" applyAlignment="1" applyProtection="1">
      <alignment horizontal="right" vertical="center"/>
      <protection locked="0"/>
    </xf>
    <xf numFmtId="0" fontId="33" fillId="0" borderId="0" xfId="0" applyFont="1" applyBorder="1" applyAlignment="1">
      <alignment vertical="center"/>
    </xf>
    <xf numFmtId="176" fontId="29" fillId="3" borderId="14" xfId="8" applyNumberFormat="1" applyFont="1" applyFill="1" applyBorder="1" applyAlignment="1" applyProtection="1">
      <alignment vertical="center"/>
      <protection locked="0"/>
    </xf>
    <xf numFmtId="168" fontId="29" fillId="3" borderId="14" xfId="8" applyNumberFormat="1" applyFont="1" applyFill="1" applyBorder="1" applyAlignment="1" applyProtection="1">
      <alignment horizontal="right" vertical="center"/>
      <protection locked="0"/>
    </xf>
    <xf numFmtId="0" fontId="27" fillId="0" borderId="3" xfId="8" applyFont="1" applyBorder="1" applyAlignment="1" applyProtection="1">
      <alignment vertical="center"/>
    </xf>
    <xf numFmtId="0" fontId="27" fillId="0" borderId="0" xfId="8" applyFont="1" applyBorder="1" applyAlignment="1" applyProtection="1">
      <alignment vertical="center"/>
    </xf>
    <xf numFmtId="2" fontId="15" fillId="0" borderId="0" xfId="8" applyNumberFormat="1" applyFont="1" applyBorder="1" applyAlignment="1" applyProtection="1">
      <alignment vertical="center"/>
    </xf>
    <xf numFmtId="0" fontId="27" fillId="0" borderId="25" xfId="8" applyFont="1" applyBorder="1" applyAlignment="1" applyProtection="1">
      <alignment vertical="center"/>
    </xf>
    <xf numFmtId="0" fontId="27" fillId="0" borderId="26" xfId="8" applyFont="1" applyBorder="1" applyAlignment="1" applyProtection="1">
      <alignment vertical="center"/>
    </xf>
    <xf numFmtId="2" fontId="15" fillId="0" borderId="26" xfId="8" applyNumberFormat="1" applyFont="1" applyBorder="1" applyAlignment="1" applyProtection="1">
      <alignment vertical="center"/>
    </xf>
    <xf numFmtId="0" fontId="26" fillId="0" borderId="26" xfId="8" applyFont="1" applyFill="1" applyBorder="1" applyAlignment="1" applyProtection="1">
      <alignment horizontal="left" vertical="center"/>
    </xf>
    <xf numFmtId="0" fontId="29" fillId="3" borderId="0" xfId="8" applyFont="1" applyFill="1" applyBorder="1" applyAlignment="1" applyProtection="1">
      <alignment vertical="center"/>
      <protection locked="0"/>
    </xf>
    <xf numFmtId="2" fontId="29" fillId="0" borderId="0" xfId="8" applyNumberFormat="1" applyFont="1" applyBorder="1" applyAlignment="1" applyProtection="1">
      <alignment vertical="center"/>
    </xf>
    <xf numFmtId="0" fontId="29" fillId="3" borderId="7" xfId="8" applyFont="1" applyFill="1" applyBorder="1" applyAlignment="1" applyProtection="1">
      <alignment vertical="center"/>
      <protection locked="0"/>
    </xf>
    <xf numFmtId="2" fontId="29" fillId="0" borderId="7" xfId="8" applyNumberFormat="1" applyFont="1" applyBorder="1" applyAlignment="1" applyProtection="1">
      <alignment vertical="center"/>
    </xf>
    <xf numFmtId="0" fontId="29" fillId="0" borderId="27" xfId="8" applyFont="1" applyBorder="1" applyAlignment="1" applyProtection="1">
      <alignment vertical="center"/>
    </xf>
    <xf numFmtId="0" fontId="29" fillId="0" borderId="28" xfId="8" applyFont="1" applyBorder="1" applyAlignment="1" applyProtection="1">
      <alignment vertical="center"/>
    </xf>
    <xf numFmtId="0" fontId="32" fillId="0" borderId="28" xfId="8" applyFont="1" applyBorder="1" applyAlignment="1" applyProtection="1">
      <alignment vertical="center"/>
    </xf>
    <xf numFmtId="0" fontId="29" fillId="0" borderId="21" xfId="8" applyFont="1" applyBorder="1" applyAlignment="1" applyProtection="1">
      <alignment vertical="center"/>
    </xf>
    <xf numFmtId="0" fontId="29" fillId="0" borderId="22" xfId="8" applyFont="1" applyBorder="1" applyAlignment="1" applyProtection="1">
      <alignment vertical="center"/>
    </xf>
    <xf numFmtId="0" fontId="29" fillId="4" borderId="0" xfId="8" applyFont="1" applyFill="1" applyBorder="1" applyAlignment="1" applyProtection="1">
      <alignment vertical="center"/>
    </xf>
    <xf numFmtId="0" fontId="29" fillId="4" borderId="22" xfId="8" applyFont="1" applyFill="1" applyBorder="1" applyAlignment="1" applyProtection="1">
      <alignment vertical="center"/>
    </xf>
    <xf numFmtId="0" fontId="32" fillId="0" borderId="0" xfId="0" applyFont="1" applyAlignment="1">
      <alignment vertical="center"/>
    </xf>
    <xf numFmtId="0" fontId="32" fillId="0" borderId="27" xfId="8" applyFont="1" applyBorder="1" applyAlignment="1" applyProtection="1">
      <alignment vertical="center"/>
    </xf>
    <xf numFmtId="0" fontId="32" fillId="0" borderId="0" xfId="8" applyFont="1" applyBorder="1" applyAlignment="1" applyProtection="1">
      <alignment vertical="center"/>
    </xf>
    <xf numFmtId="0" fontId="32" fillId="0" borderId="4" xfId="8" applyFont="1" applyBorder="1" applyAlignment="1" applyProtection="1">
      <alignment vertical="center"/>
    </xf>
    <xf numFmtId="0" fontId="27" fillId="0" borderId="7" xfId="8" applyFont="1" applyBorder="1" applyAlignment="1" applyProtection="1">
      <alignment vertical="center"/>
    </xf>
    <xf numFmtId="0" fontId="29" fillId="0" borderId="7" xfId="0" applyFont="1" applyBorder="1" applyAlignment="1">
      <alignment horizontal="right" vertical="center"/>
    </xf>
    <xf numFmtId="174" fontId="29" fillId="3" borderId="29" xfId="8" applyNumberFormat="1" applyFont="1" applyFill="1" applyBorder="1" applyAlignment="1" applyProtection="1">
      <alignment vertical="center"/>
      <protection locked="0"/>
    </xf>
    <xf numFmtId="0" fontId="33" fillId="0" borderId="10" xfId="8" applyFont="1" applyBorder="1" applyAlignment="1" applyProtection="1">
      <alignment horizontal="left" vertical="center"/>
    </xf>
    <xf numFmtId="0" fontId="22" fillId="0" borderId="7" xfId="8" applyFont="1" applyBorder="1" applyAlignment="1" applyProtection="1">
      <alignment vertical="center"/>
    </xf>
    <xf numFmtId="0" fontId="29" fillId="0" borderId="7" xfId="0" applyFont="1" applyBorder="1" applyAlignment="1">
      <alignment horizontal="center" vertical="center"/>
    </xf>
    <xf numFmtId="177" fontId="29" fillId="3" borderId="4" xfId="0" applyNumberFormat="1" applyFont="1" applyFill="1" applyBorder="1" applyAlignment="1" applyProtection="1">
      <alignment horizontal="right" vertical="center"/>
      <protection locked="0"/>
    </xf>
    <xf numFmtId="0" fontId="27" fillId="0" borderId="5" xfId="8" applyFont="1" applyBorder="1" applyAlignment="1" applyProtection="1">
      <alignment vertical="center"/>
    </xf>
    <xf numFmtId="0" fontId="27" fillId="0" borderId="22" xfId="8" applyFont="1" applyBorder="1" applyAlignment="1" applyProtection="1">
      <alignment vertical="center"/>
    </xf>
    <xf numFmtId="0" fontId="29" fillId="0" borderId="3" xfId="8" applyFont="1" applyBorder="1" applyAlignment="1">
      <alignment vertical="center"/>
    </xf>
    <xf numFmtId="0" fontId="29" fillId="0" borderId="0" xfId="8" applyFont="1" applyBorder="1" applyAlignment="1">
      <alignment vertical="center"/>
    </xf>
    <xf numFmtId="0" fontId="27" fillId="0" borderId="11" xfId="8" applyFont="1" applyBorder="1" applyAlignment="1">
      <alignment vertical="center"/>
    </xf>
    <xf numFmtId="0" fontId="27" fillId="0" borderId="30" xfId="8" applyFont="1" applyBorder="1" applyAlignment="1">
      <alignment vertical="center"/>
    </xf>
    <xf numFmtId="0" fontId="0" fillId="0" borderId="30" xfId="0" applyBorder="1" applyAlignment="1">
      <alignment vertical="center"/>
    </xf>
    <xf numFmtId="0" fontId="26" fillId="0" borderId="31" xfId="8" applyFont="1" applyBorder="1" applyAlignment="1" applyProtection="1">
      <alignment horizontal="left" vertical="center"/>
    </xf>
    <xf numFmtId="0" fontId="29" fillId="0" borderId="2" xfId="8" applyFont="1" applyBorder="1" applyAlignment="1">
      <alignment horizontal="center" vertical="center"/>
    </xf>
    <xf numFmtId="171" fontId="29" fillId="3" borderId="20" xfId="8" applyNumberFormat="1" applyFont="1" applyFill="1" applyBorder="1" applyAlignment="1" applyProtection="1">
      <alignment vertical="center"/>
      <protection locked="0"/>
    </xf>
    <xf numFmtId="0" fontId="29" fillId="0" borderId="23" xfId="8" applyFont="1" applyBorder="1" applyAlignment="1" applyProtection="1">
      <alignment horizontal="center" vertical="center"/>
    </xf>
    <xf numFmtId="169" fontId="29" fillId="3" borderId="32" xfId="8" applyNumberFormat="1" applyFont="1" applyFill="1" applyBorder="1" applyAlignment="1" applyProtection="1">
      <alignment vertical="center"/>
      <protection locked="0"/>
    </xf>
    <xf numFmtId="169" fontId="29" fillId="3" borderId="33" xfId="8" applyNumberFormat="1" applyFont="1" applyFill="1" applyBorder="1" applyAlignment="1" applyProtection="1">
      <alignment vertical="center"/>
      <protection locked="0"/>
    </xf>
    <xf numFmtId="0" fontId="26" fillId="0" borderId="0" xfId="0" applyFont="1" applyAlignment="1">
      <alignment vertical="center"/>
    </xf>
    <xf numFmtId="192" fontId="22" fillId="0" borderId="0" xfId="8" applyNumberFormat="1" applyFont="1" applyBorder="1" applyAlignment="1" applyProtection="1">
      <alignment horizontal="left" vertical="center"/>
    </xf>
    <xf numFmtId="182" fontId="27" fillId="0" borderId="8" xfId="0" applyNumberFormat="1" applyFont="1" applyBorder="1" applyAlignment="1">
      <alignment horizontal="right" vertical="center"/>
    </xf>
    <xf numFmtId="182" fontId="27" fillId="2" borderId="8" xfId="0" applyNumberFormat="1" applyFont="1" applyFill="1" applyBorder="1" applyAlignment="1">
      <alignment horizontal="right" vertical="center"/>
    </xf>
    <xf numFmtId="0" fontId="27" fillId="0" borderId="4" xfId="8" applyFont="1" applyBorder="1" applyAlignment="1" applyProtection="1">
      <alignment vertical="center"/>
    </xf>
    <xf numFmtId="0" fontId="0" fillId="0" borderId="0" xfId="0" applyBorder="1"/>
    <xf numFmtId="0" fontId="0" fillId="0" borderId="4" xfId="0" applyBorder="1"/>
    <xf numFmtId="0" fontId="22" fillId="3" borderId="3" xfId="0" applyFont="1" applyFill="1" applyBorder="1" applyAlignment="1" applyProtection="1">
      <alignment vertical="center"/>
      <protection locked="0"/>
    </xf>
    <xf numFmtId="0" fontId="0" fillId="0" borderId="3" xfId="0" applyBorder="1" applyAlignment="1">
      <alignment vertical="center"/>
    </xf>
    <xf numFmtId="0" fontId="19" fillId="2" borderId="4" xfId="8" applyFont="1" applyFill="1" applyBorder="1" applyAlignment="1" applyProtection="1">
      <alignment vertical="center"/>
    </xf>
    <xf numFmtId="0" fontId="21" fillId="0" borderId="0" xfId="0" applyFont="1" applyBorder="1" applyAlignment="1">
      <alignment vertical="center"/>
    </xf>
    <xf numFmtId="0" fontId="30" fillId="0" borderId="3" xfId="0" applyFont="1" applyBorder="1" applyAlignment="1">
      <alignment vertical="center"/>
    </xf>
    <xf numFmtId="0" fontId="29" fillId="0" borderId="10" xfId="0" applyFont="1" applyBorder="1" applyAlignment="1">
      <alignment vertical="center"/>
    </xf>
    <xf numFmtId="0" fontId="40" fillId="0" borderId="10" xfId="0" applyFont="1" applyBorder="1" applyAlignment="1">
      <alignment horizontal="right" vertical="center"/>
    </xf>
    <xf numFmtId="0" fontId="0" fillId="0" borderId="10" xfId="0" applyBorder="1" applyAlignment="1">
      <alignment horizontal="right" vertical="center"/>
    </xf>
    <xf numFmtId="0" fontId="15" fillId="0" borderId="3" xfId="0" applyFont="1" applyBorder="1" applyAlignment="1">
      <alignment vertical="center"/>
    </xf>
    <xf numFmtId="0" fontId="29" fillId="3" borderId="10" xfId="0" applyFont="1" applyFill="1" applyBorder="1" applyAlignment="1" applyProtection="1">
      <alignment vertical="center"/>
      <protection locked="0"/>
    </xf>
    <xf numFmtId="0" fontId="15" fillId="0" borderId="10" xfId="0" applyFont="1" applyBorder="1" applyAlignment="1">
      <alignment vertical="center"/>
    </xf>
    <xf numFmtId="0" fontId="32" fillId="0" borderId="3" xfId="0" applyFont="1" applyBorder="1" applyAlignment="1">
      <alignment vertical="center"/>
    </xf>
    <xf numFmtId="0" fontId="32" fillId="0" borderId="10" xfId="0" applyFont="1" applyBorder="1" applyAlignment="1">
      <alignment vertical="center"/>
    </xf>
    <xf numFmtId="0" fontId="15" fillId="0" borderId="4" xfId="0" applyFont="1" applyBorder="1" applyAlignment="1">
      <alignment vertical="center"/>
    </xf>
    <xf numFmtId="0" fontId="15" fillId="0" borderId="24" xfId="0" applyFont="1" applyBorder="1" applyAlignment="1">
      <alignment vertical="center"/>
    </xf>
    <xf numFmtId="0" fontId="0" fillId="0" borderId="3" xfId="0" applyBorder="1" applyAlignment="1">
      <alignment horizontal="centerContinuous" vertical="center" wrapText="1"/>
    </xf>
    <xf numFmtId="0" fontId="0" fillId="0" borderId="10" xfId="0" applyBorder="1" applyAlignment="1">
      <alignment horizontal="centerContinuous" vertical="center" wrapText="1"/>
    </xf>
    <xf numFmtId="0" fontId="40" fillId="0" borderId="5" xfId="0" applyFont="1" applyBorder="1" applyAlignment="1">
      <alignment horizontal="centerContinuous" wrapText="1"/>
    </xf>
    <xf numFmtId="0" fontId="0" fillId="0" borderId="13" xfId="0" applyBorder="1" applyAlignment="1">
      <alignment horizontal="centerContinuous"/>
    </xf>
    <xf numFmtId="0" fontId="34" fillId="0" borderId="10" xfId="0" applyFont="1" applyBorder="1" applyAlignment="1">
      <alignment horizontal="centerContinuous" vertical="center"/>
    </xf>
    <xf numFmtId="0" fontId="29" fillId="0" borderId="3" xfId="0" applyFont="1" applyBorder="1" applyAlignment="1">
      <alignment horizontal="right" vertical="center"/>
    </xf>
    <xf numFmtId="0" fontId="32" fillId="0" borderId="4" xfId="0" applyFont="1" applyBorder="1" applyAlignment="1">
      <alignment vertical="center"/>
    </xf>
    <xf numFmtId="0" fontId="32" fillId="0" borderId="24" xfId="0" applyFont="1" applyBorder="1" applyAlignment="1">
      <alignment vertical="center"/>
    </xf>
    <xf numFmtId="0" fontId="29" fillId="0" borderId="4" xfId="0" applyFont="1" applyBorder="1" applyAlignment="1">
      <alignment horizontal="right" vertical="center"/>
    </xf>
    <xf numFmtId="0" fontId="29" fillId="3" borderId="24" xfId="0" applyFont="1" applyFill="1" applyBorder="1" applyAlignment="1" applyProtection="1">
      <alignment vertical="center"/>
      <protection locked="0"/>
    </xf>
    <xf numFmtId="0" fontId="29" fillId="4" borderId="7" xfId="0" applyFont="1" applyFill="1" applyBorder="1" applyAlignment="1" applyProtection="1">
      <alignment vertical="center"/>
    </xf>
    <xf numFmtId="170" fontId="29" fillId="4" borderId="0" xfId="0" applyNumberFormat="1" applyFont="1" applyFill="1" applyBorder="1" applyAlignment="1" applyProtection="1">
      <alignment horizontal="right" vertical="center"/>
    </xf>
    <xf numFmtId="170" fontId="29" fillId="4" borderId="10" xfId="0" applyNumberFormat="1" applyFont="1" applyFill="1" applyBorder="1" applyAlignment="1" applyProtection="1">
      <alignment horizontal="right" vertical="center"/>
    </xf>
    <xf numFmtId="0" fontId="29" fillId="0" borderId="0" xfId="0" applyFont="1"/>
    <xf numFmtId="0" fontId="29" fillId="0" borderId="0" xfId="0" applyFont="1" applyAlignment="1">
      <alignment horizontal="left" vertical="top"/>
    </xf>
    <xf numFmtId="14" fontId="29" fillId="0" borderId="0" xfId="0" applyNumberFormat="1" applyFont="1" applyAlignment="1">
      <alignment horizontal="left" vertical="top"/>
    </xf>
    <xf numFmtId="0" fontId="29" fillId="0" borderId="0" xfId="0" applyFont="1" applyAlignment="1">
      <alignment vertical="top"/>
    </xf>
    <xf numFmtId="0" fontId="0" fillId="0" borderId="3" xfId="0" applyBorder="1"/>
    <xf numFmtId="169" fontId="29" fillId="3" borderId="29" xfId="8" applyNumberFormat="1" applyFont="1" applyFill="1" applyBorder="1" applyAlignment="1" applyProtection="1">
      <alignment vertical="center"/>
      <protection locked="0"/>
    </xf>
    <xf numFmtId="0" fontId="20" fillId="0" borderId="0" xfId="0" applyFont="1" applyBorder="1" applyAlignment="1">
      <alignment vertical="center"/>
    </xf>
    <xf numFmtId="180" fontId="33" fillId="0" borderId="7" xfId="0" applyNumberFormat="1" applyFont="1" applyBorder="1" applyAlignment="1">
      <alignment vertical="center"/>
    </xf>
    <xf numFmtId="3" fontId="22" fillId="3" borderId="18" xfId="0" applyNumberFormat="1" applyFont="1" applyFill="1" applyBorder="1" applyAlignment="1" applyProtection="1">
      <alignment vertical="center"/>
      <protection locked="0"/>
    </xf>
    <xf numFmtId="3" fontId="22" fillId="3" borderId="14" xfId="0" applyNumberFormat="1"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0" fontId="26" fillId="0" borderId="13" xfId="8" applyFont="1" applyBorder="1" applyAlignment="1" applyProtection="1">
      <alignment horizontal="left" vertical="center"/>
    </xf>
    <xf numFmtId="173" fontId="20" fillId="0" borderId="8" xfId="0" applyNumberFormat="1" applyFont="1" applyBorder="1" applyAlignment="1">
      <alignment horizontal="right" vertical="center"/>
    </xf>
    <xf numFmtId="0" fontId="27" fillId="0" borderId="5" xfId="0" applyFont="1" applyBorder="1" applyAlignment="1">
      <alignment horizontal="centerContinuous" vertical="center"/>
    </xf>
    <xf numFmtId="0" fontId="27" fillId="0" borderId="6" xfId="0" applyFont="1" applyBorder="1" applyAlignment="1">
      <alignment horizontal="center" vertical="center"/>
    </xf>
    <xf numFmtId="0" fontId="15" fillId="0" borderId="6" xfId="0" applyFont="1" applyBorder="1" applyAlignment="1">
      <alignment vertical="center"/>
    </xf>
    <xf numFmtId="0" fontId="15" fillId="0" borderId="6" xfId="0" applyFont="1" applyBorder="1" applyAlignment="1">
      <alignment horizontal="centerContinuous" vertical="center"/>
    </xf>
    <xf numFmtId="0" fontId="15" fillId="0" borderId="13" xfId="0" applyFont="1" applyBorder="1" applyAlignment="1">
      <alignment horizontal="centerContinuous" vertical="center"/>
    </xf>
    <xf numFmtId="0" fontId="35" fillId="0" borderId="3" xfId="0" applyFont="1" applyBorder="1" applyAlignment="1">
      <alignment vertical="center"/>
    </xf>
    <xf numFmtId="0" fontId="35" fillId="0" borderId="0" xfId="0" applyFont="1" applyBorder="1" applyAlignment="1">
      <alignment vertical="center"/>
    </xf>
    <xf numFmtId="0" fontId="35" fillId="0" borderId="11" xfId="0" applyFont="1" applyBorder="1" applyAlignment="1">
      <alignment vertical="center"/>
    </xf>
    <xf numFmtId="0" fontId="35" fillId="0" borderId="4" xfId="0" applyFont="1" applyBorder="1" applyAlignment="1">
      <alignment vertical="center"/>
    </xf>
    <xf numFmtId="0" fontId="35" fillId="0" borderId="7" xfId="0" applyFont="1" applyBorder="1" applyAlignment="1">
      <alignment vertical="center"/>
    </xf>
    <xf numFmtId="0" fontId="22" fillId="0" borderId="0" xfId="0" applyFont="1" applyBorder="1" applyAlignment="1">
      <alignment horizontal="left" vertical="center"/>
    </xf>
    <xf numFmtId="0" fontId="31" fillId="0" borderId="7" xfId="0" applyFont="1" applyBorder="1" applyAlignment="1">
      <alignment vertical="center"/>
    </xf>
    <xf numFmtId="0" fontId="22" fillId="0" borderId="7" xfId="0" applyFont="1" applyBorder="1" applyAlignment="1">
      <alignment horizontal="left" vertical="center"/>
    </xf>
    <xf numFmtId="0" fontId="20" fillId="0" borderId="7" xfId="0" applyFont="1" applyBorder="1" applyAlignment="1">
      <alignment vertical="center"/>
    </xf>
    <xf numFmtId="0" fontId="20" fillId="0" borderId="0" xfId="0" applyFont="1" applyBorder="1" applyAlignment="1">
      <alignment horizontal="right" vertical="center"/>
    </xf>
    <xf numFmtId="170" fontId="29" fillId="4" borderId="7" xfId="6" applyNumberFormat="1" applyFont="1" applyFill="1" applyBorder="1" applyAlignment="1" applyProtection="1">
      <alignment vertical="center"/>
    </xf>
    <xf numFmtId="0" fontId="20" fillId="0" borderId="6" xfId="0" applyFont="1" applyBorder="1" applyAlignment="1">
      <alignment vertical="center"/>
    </xf>
    <xf numFmtId="170" fontId="29" fillId="4" borderId="18" xfId="0" applyNumberFormat="1" applyFont="1" applyFill="1" applyBorder="1" applyAlignment="1" applyProtection="1">
      <alignment horizontal="right" vertical="center"/>
    </xf>
    <xf numFmtId="170" fontId="29" fillId="4" borderId="14" xfId="6" applyNumberFormat="1" applyFont="1" applyFill="1" applyBorder="1" applyAlignment="1" applyProtection="1">
      <alignment vertical="center"/>
    </xf>
    <xf numFmtId="170" fontId="29" fillId="4" borderId="19" xfId="0" applyNumberFormat="1" applyFont="1" applyFill="1" applyBorder="1" applyAlignment="1" applyProtection="1">
      <alignment horizontal="right" vertical="center"/>
    </xf>
    <xf numFmtId="170" fontId="29" fillId="4" borderId="15" xfId="6" applyNumberFormat="1" applyFont="1" applyFill="1" applyBorder="1" applyAlignment="1" applyProtection="1">
      <alignment vertical="center"/>
    </xf>
    <xf numFmtId="178" fontId="29" fillId="4" borderId="16" xfId="0" applyNumberFormat="1" applyFont="1" applyFill="1" applyBorder="1" applyAlignment="1" applyProtection="1">
      <alignment horizontal="right" vertical="center"/>
    </xf>
    <xf numFmtId="178" fontId="29" fillId="4" borderId="17" xfId="0" applyNumberFormat="1" applyFont="1" applyFill="1" applyBorder="1" applyAlignment="1" applyProtection="1">
      <alignment horizontal="right" vertical="center"/>
    </xf>
    <xf numFmtId="178" fontId="29" fillId="4" borderId="14" xfId="0" applyNumberFormat="1" applyFont="1" applyFill="1" applyBorder="1" applyAlignment="1" applyProtection="1">
      <alignment horizontal="right" vertical="center"/>
    </xf>
    <xf numFmtId="178" fontId="29" fillId="4" borderId="15" xfId="0" applyNumberFormat="1" applyFont="1" applyFill="1" applyBorder="1" applyAlignment="1" applyProtection="1">
      <alignment horizontal="right" vertical="center"/>
    </xf>
    <xf numFmtId="178" fontId="29" fillId="4" borderId="1" xfId="0" applyNumberFormat="1" applyFont="1" applyFill="1" applyBorder="1" applyAlignment="1" applyProtection="1">
      <alignment horizontal="right" vertical="center"/>
    </xf>
    <xf numFmtId="178" fontId="29" fillId="4" borderId="37" xfId="0" applyNumberFormat="1" applyFont="1" applyFill="1" applyBorder="1" applyAlignment="1" applyProtection="1">
      <alignment horizontal="right" vertical="center"/>
    </xf>
    <xf numFmtId="0" fontId="19" fillId="0" borderId="0" xfId="8" applyFont="1" applyBorder="1" applyAlignment="1" applyProtection="1">
      <alignment vertical="center"/>
    </xf>
    <xf numFmtId="0" fontId="19" fillId="0" borderId="3" xfId="8" applyFont="1" applyBorder="1" applyAlignment="1" applyProtection="1">
      <alignment vertical="center"/>
    </xf>
    <xf numFmtId="170" fontId="26" fillId="4" borderId="8" xfId="0" applyNumberFormat="1" applyFont="1" applyFill="1" applyBorder="1" applyAlignment="1">
      <alignment horizontal="right" vertical="center"/>
    </xf>
    <xf numFmtId="0" fontId="0" fillId="2" borderId="4" xfId="0" applyFill="1" applyBorder="1"/>
    <xf numFmtId="0" fontId="26" fillId="0" borderId="0" xfId="8" applyFont="1" applyBorder="1" applyAlignment="1" applyProtection="1">
      <alignment vertical="center"/>
    </xf>
    <xf numFmtId="0" fontId="24" fillId="0" borderId="0" xfId="8" applyFont="1" applyBorder="1" applyAlignment="1" applyProtection="1">
      <alignment vertical="center"/>
    </xf>
    <xf numFmtId="0" fontId="22" fillId="0" borderId="0" xfId="8" applyFont="1" applyBorder="1" applyAlignment="1" applyProtection="1">
      <alignment horizontal="right" vertical="center"/>
    </xf>
    <xf numFmtId="171" fontId="27" fillId="0" borderId="8" xfId="0" applyNumberFormat="1" applyFont="1" applyBorder="1" applyAlignment="1">
      <alignment horizontal="right" vertical="center"/>
    </xf>
    <xf numFmtId="171" fontId="27" fillId="2" borderId="8" xfId="0" applyNumberFormat="1" applyFont="1" applyFill="1" applyBorder="1" applyAlignment="1">
      <alignment horizontal="right" vertical="center"/>
    </xf>
    <xf numFmtId="0" fontId="29" fillId="0" borderId="0" xfId="0" applyFont="1" applyAlignment="1">
      <alignment horizontal="right" vertical="center"/>
    </xf>
    <xf numFmtId="0" fontId="0" fillId="4" borderId="0" xfId="0" applyFill="1" applyAlignment="1">
      <alignment vertical="top"/>
    </xf>
    <xf numFmtId="0" fontId="0" fillId="4" borderId="0" xfId="0" applyFill="1" applyBorder="1" applyAlignment="1">
      <alignment vertical="top"/>
    </xf>
    <xf numFmtId="14" fontId="29" fillId="4" borderId="0" xfId="0" applyNumberFormat="1" applyFont="1" applyFill="1" applyBorder="1" applyAlignment="1">
      <alignment horizontal="left" vertical="top"/>
    </xf>
    <xf numFmtId="0" fontId="0" fillId="4" borderId="0" xfId="0" applyFill="1"/>
    <xf numFmtId="0" fontId="0" fillId="4" borderId="0" xfId="0" applyFill="1" applyBorder="1"/>
    <xf numFmtId="190" fontId="29" fillId="3" borderId="18" xfId="0" applyNumberFormat="1" applyFont="1" applyFill="1" applyBorder="1" applyAlignment="1" applyProtection="1">
      <alignment horizontal="right" vertical="center"/>
      <protection locked="0"/>
    </xf>
    <xf numFmtId="170" fontId="29" fillId="4" borderId="7" xfId="0" applyNumberFormat="1" applyFont="1" applyFill="1" applyBorder="1" applyAlignment="1" applyProtection="1">
      <alignment horizontal="right" vertical="center"/>
    </xf>
    <xf numFmtId="170" fontId="29" fillId="4" borderId="15" xfId="0" applyNumberFormat="1" applyFont="1" applyFill="1" applyBorder="1" applyAlignment="1" applyProtection="1">
      <alignment horizontal="right" vertical="center"/>
    </xf>
    <xf numFmtId="0" fontId="33" fillId="4" borderId="7"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22" fillId="4" borderId="7" xfId="0" applyFont="1" applyFill="1" applyBorder="1" applyAlignment="1" applyProtection="1">
      <alignment horizontal="left" vertical="center"/>
    </xf>
    <xf numFmtId="196" fontId="29" fillId="3" borderId="0" xfId="0" applyNumberFormat="1" applyFont="1" applyFill="1" applyBorder="1" applyAlignment="1" applyProtection="1">
      <alignment horizontal="right" vertical="center"/>
      <protection locked="0"/>
    </xf>
    <xf numFmtId="196" fontId="29" fillId="3" borderId="18" xfId="0" applyNumberFormat="1" applyFont="1" applyFill="1" applyBorder="1" applyAlignment="1" applyProtection="1">
      <alignment horizontal="right" vertical="center"/>
      <protection locked="0"/>
    </xf>
    <xf numFmtId="196" fontId="29" fillId="3" borderId="19" xfId="0" applyNumberFormat="1" applyFont="1" applyFill="1" applyBorder="1" applyAlignment="1" applyProtection="1">
      <alignment horizontal="right" vertical="center"/>
      <protection locked="0"/>
    </xf>
    <xf numFmtId="0" fontId="29" fillId="0" borderId="26" xfId="8" applyFont="1" applyBorder="1" applyAlignment="1">
      <alignment vertical="center"/>
    </xf>
    <xf numFmtId="185" fontId="25" fillId="4" borderId="8" xfId="4" applyNumberFormat="1" applyFont="1" applyFill="1" applyBorder="1" applyAlignment="1">
      <alignment horizontal="right" vertical="center"/>
    </xf>
    <xf numFmtId="176" fontId="29" fillId="3" borderId="3" xfId="0" applyNumberFormat="1" applyFont="1" applyFill="1" applyBorder="1" applyAlignment="1" applyProtection="1">
      <alignment horizontal="right" vertical="center"/>
      <protection locked="0"/>
    </xf>
    <xf numFmtId="176" fontId="29" fillId="3" borderId="18" xfId="0" applyNumberFormat="1" applyFont="1" applyFill="1" applyBorder="1" applyAlignment="1" applyProtection="1">
      <alignment horizontal="right" vertical="center"/>
      <protection locked="0"/>
    </xf>
    <xf numFmtId="176" fontId="29" fillId="3" borderId="19" xfId="0" applyNumberFormat="1" applyFont="1" applyFill="1" applyBorder="1" applyAlignment="1" applyProtection="1">
      <alignment horizontal="right" vertical="center"/>
      <protection locked="0"/>
    </xf>
    <xf numFmtId="176" fontId="29" fillId="3" borderId="4" xfId="0" applyNumberFormat="1" applyFont="1" applyFill="1" applyBorder="1" applyAlignment="1" applyProtection="1">
      <alignment horizontal="right" vertical="center"/>
      <protection locked="0"/>
    </xf>
    <xf numFmtId="176" fontId="29" fillId="3" borderId="14" xfId="0" applyNumberFormat="1" applyFont="1" applyFill="1" applyBorder="1" applyAlignment="1" applyProtection="1">
      <alignment horizontal="right" vertical="center"/>
      <protection locked="0"/>
    </xf>
    <xf numFmtId="176" fontId="29" fillId="3" borderId="15" xfId="0" applyNumberFormat="1" applyFont="1" applyFill="1" applyBorder="1" applyAlignment="1" applyProtection="1">
      <alignment horizontal="right" vertical="center"/>
      <protection locked="0"/>
    </xf>
    <xf numFmtId="0" fontId="20" fillId="0" borderId="30" xfId="0" applyFont="1" applyBorder="1" applyAlignment="1">
      <alignment vertical="center"/>
    </xf>
    <xf numFmtId="0" fontId="22" fillId="0" borderId="30" xfId="0" applyFont="1" applyBorder="1" applyAlignment="1">
      <alignment horizontal="left" vertical="center"/>
    </xf>
    <xf numFmtId="185" fontId="27" fillId="4" borderId="13" xfId="6" applyNumberFormat="1" applyFont="1" applyFill="1" applyBorder="1" applyAlignment="1">
      <alignment vertical="center"/>
    </xf>
    <xf numFmtId="173" fontId="27" fillId="4" borderId="3" xfId="6" applyNumberFormat="1" applyFont="1" applyFill="1" applyBorder="1" applyAlignment="1">
      <alignment vertical="center"/>
    </xf>
    <xf numFmtId="173" fontId="29" fillId="4" borderId="3" xfId="6" applyNumberFormat="1" applyFont="1" applyFill="1" applyBorder="1" applyAlignment="1">
      <alignment vertical="center"/>
    </xf>
    <xf numFmtId="173" fontId="29" fillId="4" borderId="4" xfId="6" applyNumberFormat="1" applyFont="1" applyFill="1" applyBorder="1" applyAlignment="1">
      <alignment vertical="center"/>
    </xf>
    <xf numFmtId="170" fontId="29" fillId="4" borderId="24" xfId="0" applyNumberFormat="1" applyFont="1" applyFill="1" applyBorder="1" applyAlignment="1" applyProtection="1">
      <alignment horizontal="right" vertical="center"/>
    </xf>
    <xf numFmtId="173" fontId="22" fillId="4" borderId="3" xfId="0" applyNumberFormat="1" applyFont="1" applyFill="1" applyBorder="1" applyAlignment="1">
      <alignment vertical="center"/>
    </xf>
    <xf numFmtId="173" fontId="29" fillId="4" borderId="40" xfId="0" applyNumberFormat="1" applyFont="1" applyFill="1" applyBorder="1" applyAlignment="1">
      <alignment horizontal="center" vertical="center"/>
    </xf>
    <xf numFmtId="173" fontId="29" fillId="4" borderId="41" xfId="0" applyNumberFormat="1" applyFont="1" applyFill="1" applyBorder="1" applyAlignment="1">
      <alignment horizontal="center" vertical="center"/>
    </xf>
    <xf numFmtId="170" fontId="29" fillId="4" borderId="15" xfId="0" applyNumberFormat="1" applyFont="1" applyFill="1" applyBorder="1" applyAlignment="1">
      <alignment horizontal="right" vertical="center"/>
    </xf>
    <xf numFmtId="173" fontId="27" fillId="4" borderId="3" xfId="0" applyNumberFormat="1" applyFont="1" applyFill="1" applyBorder="1" applyAlignment="1">
      <alignment horizontal="right" vertical="center"/>
    </xf>
    <xf numFmtId="173" fontId="29" fillId="4" borderId="42" xfId="0" applyNumberFormat="1" applyFont="1" applyFill="1" applyBorder="1" applyAlignment="1">
      <alignment horizontal="center" vertical="center"/>
    </xf>
    <xf numFmtId="177" fontId="29" fillId="4" borderId="32" xfId="0" applyNumberFormat="1" applyFont="1" applyFill="1" applyBorder="1" applyAlignment="1">
      <alignment horizontal="right" vertical="center"/>
    </xf>
    <xf numFmtId="170" fontId="29" fillId="4" borderId="19" xfId="0" applyNumberFormat="1" applyFont="1" applyFill="1" applyBorder="1" applyAlignment="1">
      <alignment horizontal="right" vertical="center"/>
    </xf>
    <xf numFmtId="177" fontId="29" fillId="4" borderId="33" xfId="0" applyNumberFormat="1" applyFont="1" applyFill="1" applyBorder="1" applyAlignment="1">
      <alignment horizontal="right" vertical="center"/>
    </xf>
    <xf numFmtId="177" fontId="29" fillId="4" borderId="3" xfId="0" applyNumberFormat="1" applyFont="1" applyFill="1" applyBorder="1" applyAlignment="1">
      <alignment horizontal="right" vertical="center"/>
    </xf>
    <xf numFmtId="166" fontId="26" fillId="4" borderId="0" xfId="6" applyNumberFormat="1" applyFont="1" applyFill="1" applyBorder="1" applyAlignment="1">
      <alignment vertical="center"/>
    </xf>
    <xf numFmtId="170" fontId="16" fillId="4" borderId="10" xfId="0" applyNumberFormat="1" applyFont="1" applyFill="1" applyBorder="1" applyAlignment="1">
      <alignment vertical="center"/>
    </xf>
    <xf numFmtId="166" fontId="27" fillId="4" borderId="7" xfId="6" applyNumberFormat="1" applyFont="1" applyFill="1" applyBorder="1" applyAlignment="1">
      <alignment vertical="center"/>
    </xf>
    <xf numFmtId="170" fontId="32" fillId="4" borderId="24" xfId="0" applyNumberFormat="1" applyFont="1" applyFill="1" applyBorder="1" applyAlignment="1">
      <alignment horizontal="right" vertical="center"/>
    </xf>
    <xf numFmtId="173" fontId="32" fillId="4" borderId="3" xfId="0" applyNumberFormat="1" applyFont="1" applyFill="1" applyBorder="1" applyAlignment="1">
      <alignment horizontal="right" vertical="center"/>
    </xf>
    <xf numFmtId="0" fontId="29" fillId="4" borderId="0" xfId="0" applyFont="1" applyFill="1" applyBorder="1" applyAlignment="1">
      <alignment horizontal="center" vertical="center"/>
    </xf>
    <xf numFmtId="173" fontId="27" fillId="4" borderId="24" xfId="0" applyNumberFormat="1" applyFont="1" applyFill="1" applyBorder="1" applyAlignment="1">
      <alignment horizontal="right" vertical="center"/>
    </xf>
    <xf numFmtId="0" fontId="29" fillId="4" borderId="0" xfId="0" applyFont="1" applyFill="1" applyBorder="1" applyAlignment="1">
      <alignment horizontal="left" vertical="center"/>
    </xf>
    <xf numFmtId="185" fontId="27" fillId="4" borderId="24" xfId="6" applyNumberFormat="1" applyFont="1" applyFill="1" applyBorder="1" applyAlignment="1">
      <alignment vertical="center"/>
    </xf>
    <xf numFmtId="0" fontId="0" fillId="4" borderId="0" xfId="0" applyFill="1" applyBorder="1" applyAlignment="1">
      <alignment vertical="center"/>
    </xf>
    <xf numFmtId="0" fontId="32" fillId="0" borderId="22" xfId="8" applyFont="1" applyBorder="1" applyAlignment="1" applyProtection="1">
      <alignment vertical="center"/>
    </xf>
    <xf numFmtId="0" fontId="0" fillId="0" borderId="22" xfId="0" applyBorder="1"/>
    <xf numFmtId="0" fontId="29" fillId="0" borderId="26" xfId="8" applyFont="1" applyBorder="1" applyAlignment="1" applyProtection="1">
      <alignment vertical="center"/>
    </xf>
    <xf numFmtId="0" fontId="27" fillId="0" borderId="21" xfId="8" applyFont="1" applyBorder="1" applyAlignment="1" applyProtection="1">
      <alignment vertical="center"/>
    </xf>
    <xf numFmtId="0" fontId="29" fillId="0" borderId="25" xfId="8" applyFont="1" applyBorder="1" applyAlignment="1" applyProtection="1">
      <alignment vertical="center"/>
    </xf>
    <xf numFmtId="0" fontId="0" fillId="0" borderId="26" xfId="0" applyBorder="1"/>
    <xf numFmtId="0" fontId="29" fillId="0" borderId="24" xfId="8" applyFont="1" applyBorder="1" applyAlignment="1" applyProtection="1">
      <alignment horizontal="left" vertical="center"/>
    </xf>
    <xf numFmtId="0" fontId="29" fillId="0" borderId="0" xfId="0" applyFont="1" applyBorder="1" applyAlignment="1">
      <alignment horizontal="left" vertical="center"/>
    </xf>
    <xf numFmtId="0" fontId="29" fillId="0" borderId="7" xfId="0" applyFont="1" applyBorder="1" applyAlignment="1">
      <alignment horizontal="left" vertical="center"/>
    </xf>
    <xf numFmtId="0" fontId="29" fillId="0" borderId="10" xfId="8" applyFont="1" applyFill="1" applyBorder="1" applyAlignment="1" applyProtection="1">
      <alignment horizontal="left" vertical="center"/>
    </xf>
    <xf numFmtId="0" fontId="29" fillId="0" borderId="10" xfId="8" applyFont="1" applyBorder="1" applyAlignment="1" applyProtection="1">
      <alignment horizontal="left" vertical="center"/>
    </xf>
    <xf numFmtId="0" fontId="29" fillId="0" borderId="7" xfId="8" applyFont="1" applyBorder="1" applyAlignment="1" applyProtection="1">
      <alignment horizontal="left" vertical="center"/>
    </xf>
    <xf numFmtId="0" fontId="29" fillId="0" borderId="0" xfId="0" applyFont="1" applyFill="1" applyBorder="1" applyAlignment="1">
      <alignment horizontal="left" vertical="center"/>
    </xf>
    <xf numFmtId="0" fontId="29" fillId="4" borderId="7" xfId="0" applyFont="1" applyFill="1" applyBorder="1" applyAlignment="1" applyProtection="1">
      <alignment horizontal="left" vertical="center"/>
    </xf>
    <xf numFmtId="0" fontId="29" fillId="0" borderId="38" xfId="8" applyFont="1" applyBorder="1" applyAlignment="1" applyProtection="1">
      <alignment horizontal="center" vertical="center"/>
    </xf>
    <xf numFmtId="0" fontId="0" fillId="0" borderId="4" xfId="0" applyBorder="1" applyAlignment="1">
      <alignment horizontal="centerContinuous" vertical="center" wrapText="1"/>
    </xf>
    <xf numFmtId="0" fontId="34" fillId="0" borderId="24" xfId="0" applyFont="1" applyBorder="1" applyAlignment="1">
      <alignment horizontal="centerContinuous" vertical="center"/>
    </xf>
    <xf numFmtId="0" fontId="29" fillId="0" borderId="35" xfId="8" applyFont="1" applyBorder="1" applyAlignment="1" applyProtection="1">
      <alignment horizontal="left" vertical="center"/>
    </xf>
    <xf numFmtId="3" fontId="20" fillId="4" borderId="30" xfId="0" applyNumberFormat="1" applyFont="1" applyFill="1" applyBorder="1" applyAlignment="1" applyProtection="1">
      <alignment horizontal="centerContinuous" vertical="center"/>
    </xf>
    <xf numFmtId="3" fontId="20" fillId="3" borderId="7" xfId="0" applyNumberFormat="1" applyFont="1" applyFill="1" applyBorder="1" applyAlignment="1" applyProtection="1">
      <alignment horizontal="centerContinuous" vertical="center"/>
      <protection locked="0"/>
    </xf>
    <xf numFmtId="3" fontId="20" fillId="2" borderId="30" xfId="0" applyNumberFormat="1" applyFont="1" applyFill="1" applyBorder="1" applyAlignment="1" applyProtection="1">
      <alignment horizontal="centerContinuous" vertical="center"/>
    </xf>
    <xf numFmtId="170" fontId="33" fillId="4" borderId="42" xfId="6" applyNumberFormat="1" applyFont="1" applyFill="1" applyBorder="1" applyAlignment="1">
      <alignment vertical="center"/>
    </xf>
    <xf numFmtId="179" fontId="29" fillId="4" borderId="43" xfId="0" applyNumberFormat="1" applyFont="1" applyFill="1" applyBorder="1" applyAlignment="1">
      <alignment horizontal="center" vertical="center"/>
    </xf>
    <xf numFmtId="179" fontId="29" fillId="3" borderId="32" xfId="0" applyNumberFormat="1" applyFont="1" applyFill="1" applyBorder="1" applyAlignment="1" applyProtection="1">
      <alignment horizontal="right" vertical="center"/>
      <protection locked="0"/>
    </xf>
    <xf numFmtId="179" fontId="29" fillId="3" borderId="32" xfId="8" applyNumberFormat="1" applyFont="1" applyFill="1" applyBorder="1" applyAlignment="1" applyProtection="1">
      <alignment horizontal="right" vertical="center"/>
      <protection locked="0"/>
    </xf>
    <xf numFmtId="179" fontId="29" fillId="3" borderId="43" xfId="8" applyNumberFormat="1" applyFont="1" applyFill="1" applyBorder="1" applyAlignment="1" applyProtection="1">
      <alignment vertical="center"/>
      <protection locked="0"/>
    </xf>
    <xf numFmtId="179" fontId="29" fillId="3" borderId="3" xfId="8" applyNumberFormat="1" applyFont="1" applyFill="1" applyBorder="1" applyAlignment="1" applyProtection="1">
      <alignment horizontal="right" vertical="center"/>
      <protection locked="0"/>
    </xf>
    <xf numFmtId="179" fontId="29" fillId="3" borderId="21" xfId="8" applyNumberFormat="1" applyFont="1" applyFill="1" applyBorder="1" applyAlignment="1" applyProtection="1">
      <alignment vertical="center"/>
      <protection locked="0"/>
    </xf>
    <xf numFmtId="171" fontId="29" fillId="3" borderId="18" xfId="8" applyNumberFormat="1" applyFont="1" applyFill="1" applyBorder="1" applyAlignment="1" applyProtection="1">
      <alignment vertical="center"/>
      <protection locked="0"/>
    </xf>
    <xf numFmtId="171" fontId="29" fillId="3" borderId="14" xfId="8" applyNumberFormat="1" applyFont="1" applyFill="1" applyBorder="1" applyAlignment="1" applyProtection="1">
      <alignment vertical="center"/>
      <protection locked="0"/>
    </xf>
    <xf numFmtId="185" fontId="29" fillId="3" borderId="4" xfId="0" applyNumberFormat="1" applyFont="1" applyFill="1" applyBorder="1" applyAlignment="1" applyProtection="1">
      <alignment horizontal="right" vertical="center"/>
      <protection locked="0"/>
    </xf>
    <xf numFmtId="0" fontId="20" fillId="0" borderId="7" xfId="0" applyFont="1" applyBorder="1" applyAlignment="1">
      <alignment horizontal="right" vertical="center"/>
    </xf>
    <xf numFmtId="0" fontId="27" fillId="0" borderId="25" xfId="8" applyFont="1" applyBorder="1" applyAlignment="1">
      <alignment vertical="center"/>
    </xf>
    <xf numFmtId="0" fontId="29" fillId="0" borderId="44" xfId="8" applyFont="1" applyBorder="1" applyAlignment="1">
      <alignment horizontal="center" vertical="center"/>
    </xf>
    <xf numFmtId="0" fontId="29" fillId="0" borderId="44" xfId="0" applyFont="1" applyBorder="1" applyAlignment="1">
      <alignment horizontal="left" vertical="center"/>
    </xf>
    <xf numFmtId="168" fontId="29" fillId="3" borderId="45" xfId="8" applyNumberFormat="1" applyFont="1" applyFill="1" applyBorder="1" applyAlignment="1" applyProtection="1">
      <alignment horizontal="right" vertical="center"/>
      <protection locked="0"/>
    </xf>
    <xf numFmtId="168" fontId="29" fillId="3" borderId="20" xfId="8" applyNumberFormat="1" applyFont="1" applyFill="1" applyBorder="1" applyAlignment="1" applyProtection="1">
      <alignment horizontal="right" vertical="center"/>
      <protection locked="0"/>
    </xf>
    <xf numFmtId="0" fontId="29" fillId="0" borderId="44" xfId="0" applyFont="1" applyBorder="1" applyAlignment="1">
      <alignment horizontal="right" vertical="center"/>
    </xf>
    <xf numFmtId="169" fontId="29" fillId="4" borderId="45" xfId="8" applyNumberFormat="1" applyFont="1" applyFill="1" applyBorder="1" applyAlignment="1" applyProtection="1">
      <alignment vertical="center"/>
    </xf>
    <xf numFmtId="169" fontId="29" fillId="4" borderId="20" xfId="8" applyNumberFormat="1" applyFont="1" applyFill="1" applyBorder="1" applyAlignment="1" applyProtection="1">
      <alignment vertical="center"/>
    </xf>
    <xf numFmtId="0" fontId="25" fillId="0" borderId="0" xfId="0" applyFont="1" applyBorder="1" applyAlignment="1">
      <alignment vertical="center"/>
    </xf>
    <xf numFmtId="171" fontId="29" fillId="3" borderId="45" xfId="8" applyNumberFormat="1" applyFont="1" applyFill="1" applyBorder="1" applyAlignment="1" applyProtection="1">
      <alignment horizontal="right" vertical="center"/>
      <protection locked="0"/>
    </xf>
    <xf numFmtId="171" fontId="29" fillId="3" borderId="20" xfId="8" applyNumberFormat="1" applyFont="1" applyFill="1" applyBorder="1" applyAlignment="1" applyProtection="1">
      <alignment horizontal="right" vertical="center"/>
      <protection locked="0"/>
    </xf>
    <xf numFmtId="176" fontId="29" fillId="4" borderId="7" xfId="0" applyNumberFormat="1" applyFont="1" applyFill="1" applyBorder="1" applyAlignment="1" applyProtection="1">
      <alignment horizontal="right" vertical="center"/>
    </xf>
    <xf numFmtId="0" fontId="29" fillId="0" borderId="18" xfId="0" applyFont="1" applyFill="1" applyBorder="1" applyAlignment="1">
      <alignment horizontal="center" vertical="center"/>
    </xf>
    <xf numFmtId="0" fontId="22" fillId="0" borderId="0" xfId="0" applyFont="1" applyBorder="1" applyAlignment="1">
      <alignment horizontal="centerContinuous" vertical="top"/>
    </xf>
    <xf numFmtId="0" fontId="29" fillId="0" borderId="46" xfId="0" applyFont="1" applyBorder="1" applyAlignment="1">
      <alignment vertical="center"/>
    </xf>
    <xf numFmtId="0" fontId="29" fillId="0" borderId="47" xfId="0" applyFont="1" applyBorder="1" applyAlignment="1">
      <alignment horizontal="left" vertical="center"/>
    </xf>
    <xf numFmtId="166" fontId="29" fillId="4" borderId="47" xfId="0" applyNumberFormat="1" applyFont="1" applyFill="1" applyBorder="1" applyAlignment="1" applyProtection="1">
      <alignment horizontal="right" vertical="center"/>
    </xf>
    <xf numFmtId="0" fontId="0" fillId="0" borderId="6" xfId="0" applyBorder="1"/>
    <xf numFmtId="0" fontId="29" fillId="0" borderId="16"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42" xfId="0" applyFont="1" applyFill="1" applyBorder="1" applyAlignment="1">
      <alignment horizontal="center" vertical="center"/>
    </xf>
    <xf numFmtId="0" fontId="0" fillId="0" borderId="47" xfId="0" applyBorder="1"/>
    <xf numFmtId="0" fontId="29" fillId="3" borderId="22" xfId="0" applyFont="1" applyFill="1" applyBorder="1" applyAlignment="1" applyProtection="1">
      <alignment vertical="center"/>
      <protection locked="0"/>
    </xf>
    <xf numFmtId="0" fontId="29" fillId="0" borderId="22" xfId="0" applyFont="1" applyBorder="1" applyAlignment="1">
      <alignment vertical="center"/>
    </xf>
    <xf numFmtId="190" fontId="29" fillId="3" borderId="23" xfId="0" applyNumberFormat="1" applyFont="1" applyFill="1" applyBorder="1" applyAlignment="1" applyProtection="1">
      <alignment horizontal="right" vertical="center"/>
      <protection locked="0"/>
    </xf>
    <xf numFmtId="177" fontId="29" fillId="0" borderId="42" xfId="0" applyNumberFormat="1" applyFont="1" applyBorder="1" applyAlignment="1">
      <alignment horizontal="right" vertical="center"/>
    </xf>
    <xf numFmtId="0" fontId="29" fillId="0" borderId="16" xfId="0" applyFont="1" applyFill="1" applyBorder="1" applyAlignment="1">
      <alignment horizontal="centerContinuous" vertical="center"/>
    </xf>
    <xf numFmtId="0" fontId="29" fillId="0" borderId="6" xfId="0" applyFont="1" applyFill="1" applyBorder="1" applyAlignment="1">
      <alignment horizontal="centerContinuous" vertical="center"/>
    </xf>
    <xf numFmtId="185" fontId="29" fillId="3" borderId="18" xfId="0" applyNumberFormat="1" applyFont="1" applyFill="1" applyBorder="1" applyAlignment="1" applyProtection="1">
      <alignment horizontal="right" vertical="center"/>
      <protection locked="0"/>
    </xf>
    <xf numFmtId="185" fontId="29" fillId="3" borderId="23" xfId="0" applyNumberFormat="1" applyFont="1" applyFill="1" applyBorder="1" applyAlignment="1" applyProtection="1">
      <alignment horizontal="right" vertical="center"/>
      <protection locked="0"/>
    </xf>
    <xf numFmtId="171" fontId="29" fillId="4" borderId="18" xfId="0" applyNumberFormat="1" applyFont="1" applyFill="1" applyBorder="1" applyAlignment="1" applyProtection="1">
      <alignment horizontal="right" vertical="center"/>
    </xf>
    <xf numFmtId="171" fontId="29" fillId="4" borderId="23" xfId="0" applyNumberFormat="1" applyFont="1" applyFill="1" applyBorder="1" applyAlignment="1" applyProtection="1">
      <alignment horizontal="right" vertical="center"/>
    </xf>
    <xf numFmtId="0" fontId="29" fillId="0" borderId="5" xfId="0" applyFont="1" applyBorder="1" applyAlignment="1">
      <alignment vertical="center"/>
    </xf>
    <xf numFmtId="3" fontId="20" fillId="3" borderId="4" xfId="0" applyNumberFormat="1" applyFont="1" applyFill="1" applyBorder="1" applyAlignment="1" applyProtection="1">
      <alignment horizontal="centerContinuous" vertical="center"/>
      <protection locked="0"/>
    </xf>
    <xf numFmtId="173" fontId="31" fillId="4" borderId="24" xfId="6" applyNumberFormat="1" applyFont="1" applyFill="1" applyBorder="1" applyAlignment="1">
      <alignment horizontal="centerContinuous" vertical="center"/>
    </xf>
    <xf numFmtId="173" fontId="31" fillId="4" borderId="10" xfId="6" applyNumberFormat="1" applyFont="1" applyFill="1" applyBorder="1" applyAlignment="1">
      <alignment horizontal="centerContinuous" vertical="center"/>
    </xf>
    <xf numFmtId="3" fontId="20" fillId="4" borderId="11" xfId="0" applyNumberFormat="1" applyFont="1" applyFill="1" applyBorder="1" applyAlignment="1" applyProtection="1">
      <alignment horizontal="centerContinuous" vertical="center"/>
    </xf>
    <xf numFmtId="173" fontId="31" fillId="4" borderId="31" xfId="6" applyNumberFormat="1" applyFont="1" applyFill="1" applyBorder="1" applyAlignment="1">
      <alignment horizontal="centerContinuous" vertical="center"/>
    </xf>
    <xf numFmtId="173" fontId="31" fillId="2" borderId="31" xfId="6" applyNumberFormat="1" applyFont="1" applyFill="1" applyBorder="1" applyAlignment="1">
      <alignment horizontal="centerContinuous" vertical="center"/>
    </xf>
    <xf numFmtId="179" fontId="29" fillId="4" borderId="27" xfId="0" applyNumberFormat="1" applyFont="1" applyFill="1" applyBorder="1" applyAlignment="1">
      <alignment horizontal="center" vertical="center"/>
    </xf>
    <xf numFmtId="170" fontId="33" fillId="4" borderId="39" xfId="6" applyNumberFormat="1" applyFont="1" applyFill="1" applyBorder="1" applyAlignment="1">
      <alignment horizontal="center" vertical="center"/>
    </xf>
    <xf numFmtId="0" fontId="29" fillId="4" borderId="40" xfId="8" applyFont="1" applyFill="1" applyBorder="1" applyAlignment="1">
      <alignment horizontal="center" vertical="center"/>
    </xf>
    <xf numFmtId="197" fontId="27" fillId="4" borderId="0" xfId="6" applyNumberFormat="1" applyFont="1" applyFill="1" applyBorder="1" applyAlignment="1">
      <alignment vertical="center"/>
    </xf>
    <xf numFmtId="188" fontId="29" fillId="3" borderId="45" xfId="8" applyNumberFormat="1" applyFont="1" applyFill="1" applyBorder="1" applyAlignment="1" applyProtection="1">
      <alignment vertical="center"/>
      <protection locked="0"/>
    </xf>
    <xf numFmtId="188" fontId="29" fillId="3" borderId="20" xfId="8" applyNumberFormat="1" applyFont="1" applyFill="1" applyBorder="1" applyAlignment="1" applyProtection="1">
      <alignment vertical="center"/>
      <protection locked="0"/>
    </xf>
    <xf numFmtId="173" fontId="31" fillId="2" borderId="24" xfId="6" applyNumberFormat="1" applyFont="1" applyFill="1" applyBorder="1" applyAlignment="1">
      <alignment horizontal="centerContinuous" vertical="center"/>
    </xf>
    <xf numFmtId="0" fontId="0" fillId="4" borderId="0" xfId="0" applyFill="1" applyAlignment="1">
      <alignment vertical="center"/>
    </xf>
    <xf numFmtId="0" fontId="25" fillId="4" borderId="3" xfId="8" applyFont="1" applyFill="1" applyBorder="1" applyAlignment="1" applyProtection="1">
      <alignment vertical="center"/>
    </xf>
    <xf numFmtId="0" fontId="25" fillId="4" borderId="0" xfId="8" applyFont="1" applyFill="1" applyBorder="1" applyAlignment="1" applyProtection="1">
      <alignment vertical="center"/>
    </xf>
    <xf numFmtId="0" fontId="27" fillId="4" borderId="0" xfId="8" applyFont="1" applyFill="1" applyBorder="1" applyAlignment="1" applyProtection="1">
      <alignment horizontal="right" vertical="center"/>
    </xf>
    <xf numFmtId="0" fontId="24" fillId="4" borderId="0" xfId="8" applyFont="1" applyFill="1" applyBorder="1" applyAlignment="1" applyProtection="1">
      <alignment vertical="center"/>
    </xf>
    <xf numFmtId="0" fontId="26" fillId="4" borderId="0" xfId="8" applyFont="1" applyFill="1" applyBorder="1" applyAlignment="1" applyProtection="1">
      <alignment horizontal="left" vertical="center"/>
    </xf>
    <xf numFmtId="0" fontId="22" fillId="4" borderId="0" xfId="8" applyFont="1" applyFill="1" applyBorder="1" applyAlignment="1" applyProtection="1">
      <alignment horizontal="right" vertical="center"/>
    </xf>
    <xf numFmtId="171" fontId="27" fillId="4" borderId="8" xfId="0" applyNumberFormat="1" applyFont="1" applyFill="1" applyBorder="1" applyAlignment="1">
      <alignment horizontal="right" vertical="center"/>
    </xf>
    <xf numFmtId="0" fontId="24" fillId="4" borderId="7" xfId="8" applyFont="1" applyFill="1" applyBorder="1" applyAlignment="1" applyProtection="1">
      <alignment vertical="center"/>
    </xf>
    <xf numFmtId="0" fontId="27" fillId="4" borderId="7" xfId="8" applyFont="1" applyFill="1" applyBorder="1" applyAlignment="1" applyProtection="1">
      <alignment horizontal="right" vertical="center"/>
    </xf>
    <xf numFmtId="0" fontId="26" fillId="0" borderId="7" xfId="0" applyFont="1" applyBorder="1" applyAlignment="1">
      <alignment vertical="center"/>
    </xf>
    <xf numFmtId="196" fontId="29" fillId="3" borderId="32" xfId="0" applyNumberFormat="1" applyFont="1" applyFill="1" applyBorder="1" applyAlignment="1" applyProtection="1">
      <alignment horizontal="right" vertical="center"/>
      <protection locked="0"/>
    </xf>
    <xf numFmtId="196" fontId="29" fillId="3" borderId="33" xfId="0" applyNumberFormat="1" applyFont="1" applyFill="1" applyBorder="1" applyAlignment="1" applyProtection="1">
      <alignment horizontal="right" vertical="center"/>
      <protection locked="0"/>
    </xf>
    <xf numFmtId="0" fontId="26" fillId="0" borderId="30" xfId="8" applyFont="1" applyBorder="1" applyAlignment="1" applyProtection="1">
      <alignment horizontal="left" vertical="center"/>
    </xf>
    <xf numFmtId="3" fontId="20" fillId="4" borderId="3" xfId="0" applyNumberFormat="1" applyFont="1" applyFill="1" applyBorder="1" applyAlignment="1" applyProtection="1">
      <alignment vertical="center"/>
    </xf>
    <xf numFmtId="3" fontId="20" fillId="4" borderId="4" xfId="0" applyNumberFormat="1" applyFont="1" applyFill="1" applyBorder="1" applyAlignment="1" applyProtection="1">
      <alignment vertical="center"/>
    </xf>
    <xf numFmtId="3" fontId="20" fillId="4" borderId="18" xfId="0" applyNumberFormat="1" applyFont="1" applyFill="1" applyBorder="1" applyAlignment="1" applyProtection="1">
      <alignment vertical="center"/>
    </xf>
    <xf numFmtId="3" fontId="20" fillId="4" borderId="14" xfId="0" applyNumberFormat="1" applyFont="1" applyFill="1" applyBorder="1" applyAlignment="1" applyProtection="1">
      <alignment vertical="center"/>
    </xf>
    <xf numFmtId="3" fontId="20" fillId="4" borderId="19" xfId="0" applyNumberFormat="1" applyFont="1" applyFill="1" applyBorder="1" applyAlignment="1" applyProtection="1">
      <alignment vertical="center"/>
    </xf>
    <xf numFmtId="3" fontId="20" fillId="4" borderId="15" xfId="0" applyNumberFormat="1" applyFont="1" applyFill="1" applyBorder="1" applyAlignment="1" applyProtection="1">
      <alignment vertical="center"/>
    </xf>
    <xf numFmtId="185" fontId="22" fillId="4" borderId="3" xfId="4" applyNumberFormat="1" applyFont="1" applyFill="1" applyBorder="1" applyAlignment="1">
      <alignment horizontal="right" vertical="center"/>
    </xf>
    <xf numFmtId="0" fontId="29" fillId="0" borderId="7" xfId="8" applyFont="1" applyBorder="1" applyAlignment="1" applyProtection="1">
      <alignment horizontal="right" vertical="center"/>
    </xf>
    <xf numFmtId="176" fontId="29" fillId="3" borderId="29" xfId="8" applyNumberFormat="1" applyFont="1" applyFill="1" applyBorder="1" applyAlignment="1" applyProtection="1">
      <alignment horizontal="right" vertical="center"/>
      <protection locked="0"/>
    </xf>
    <xf numFmtId="0" fontId="29" fillId="0" borderId="35" xfId="8" applyFont="1" applyFill="1" applyBorder="1" applyAlignment="1" applyProtection="1">
      <alignment horizontal="left" vertical="center"/>
    </xf>
    <xf numFmtId="176" fontId="29" fillId="4" borderId="45" xfId="8" applyNumberFormat="1" applyFont="1" applyFill="1" applyBorder="1" applyAlignment="1" applyProtection="1">
      <alignment vertical="center"/>
    </xf>
    <xf numFmtId="176" fontId="29" fillId="4" borderId="20" xfId="8" applyNumberFormat="1" applyFont="1" applyFill="1" applyBorder="1" applyAlignment="1" applyProtection="1">
      <alignment vertical="center"/>
    </xf>
    <xf numFmtId="170" fontId="29" fillId="3" borderId="14" xfId="0" applyNumberFormat="1" applyFont="1" applyFill="1" applyBorder="1" applyAlignment="1" applyProtection="1">
      <alignment horizontal="right" vertical="center"/>
      <protection locked="0"/>
    </xf>
    <xf numFmtId="185" fontId="20" fillId="4" borderId="8" xfId="4" applyNumberFormat="1" applyFont="1" applyFill="1" applyBorder="1" applyAlignment="1">
      <alignment horizontal="right" vertical="center"/>
    </xf>
    <xf numFmtId="182" fontId="29" fillId="4" borderId="18" xfId="8" applyNumberFormat="1" applyFont="1" applyFill="1" applyBorder="1" applyAlignment="1" applyProtection="1">
      <alignment horizontal="right" vertical="center"/>
    </xf>
    <xf numFmtId="171" fontId="29" fillId="4" borderId="18" xfId="8" applyNumberFormat="1" applyFont="1" applyFill="1" applyBorder="1" applyAlignment="1" applyProtection="1">
      <alignment horizontal="right" vertical="center"/>
    </xf>
    <xf numFmtId="171" fontId="33" fillId="4" borderId="18" xfId="8" applyNumberFormat="1" applyFont="1" applyFill="1" applyBorder="1" applyAlignment="1" applyProtection="1">
      <alignment horizontal="right" vertical="center"/>
    </xf>
    <xf numFmtId="168" fontId="29" fillId="4" borderId="0" xfId="8" applyNumberFormat="1" applyFont="1" applyFill="1" applyBorder="1" applyAlignment="1" applyProtection="1">
      <alignment horizontal="right" vertical="center"/>
    </xf>
    <xf numFmtId="168" fontId="29" fillId="4" borderId="7" xfId="8" applyNumberFormat="1" applyFont="1" applyFill="1" applyBorder="1" applyAlignment="1" applyProtection="1">
      <alignment vertical="center"/>
    </xf>
    <xf numFmtId="185" fontId="22" fillId="4" borderId="4" xfId="4" applyNumberFormat="1" applyFont="1" applyFill="1" applyBorder="1" applyAlignment="1">
      <alignment horizontal="right" vertical="center"/>
    </xf>
    <xf numFmtId="0" fontId="16" fillId="0" borderId="0" xfId="0" applyFont="1"/>
    <xf numFmtId="183" fontId="29" fillId="4" borderId="3" xfId="0" applyNumberFormat="1" applyFont="1" applyFill="1" applyBorder="1" applyAlignment="1" applyProtection="1">
      <alignment horizontal="right" vertical="center"/>
    </xf>
    <xf numFmtId="183" fontId="29" fillId="4" borderId="18" xfId="0" applyNumberFormat="1" applyFont="1" applyFill="1" applyBorder="1" applyAlignment="1" applyProtection="1">
      <alignment horizontal="right" vertical="center"/>
    </xf>
    <xf numFmtId="183" fontId="29" fillId="4" borderId="19" xfId="0" applyNumberFormat="1" applyFont="1" applyFill="1" applyBorder="1" applyAlignment="1" applyProtection="1">
      <alignment horizontal="right" vertical="center"/>
    </xf>
    <xf numFmtId="183" fontId="29" fillId="4" borderId="4" xfId="0" applyNumberFormat="1" applyFont="1" applyFill="1" applyBorder="1" applyAlignment="1" applyProtection="1">
      <alignment horizontal="right" vertical="center"/>
    </xf>
    <xf numFmtId="183" fontId="29" fillId="4" borderId="14" xfId="0" applyNumberFormat="1" applyFont="1" applyFill="1" applyBorder="1" applyAlignment="1" applyProtection="1">
      <alignment horizontal="right" vertical="center"/>
    </xf>
    <xf numFmtId="183" fontId="29" fillId="4" borderId="15" xfId="0" applyNumberFormat="1" applyFont="1" applyFill="1" applyBorder="1" applyAlignment="1" applyProtection="1">
      <alignment horizontal="right" vertical="center"/>
    </xf>
    <xf numFmtId="0" fontId="35" fillId="0" borderId="21" xfId="0" applyFont="1" applyBorder="1" applyAlignment="1">
      <alignment vertical="center"/>
    </xf>
    <xf numFmtId="0" fontId="35" fillId="0" borderId="22" xfId="0" applyFont="1" applyBorder="1" applyAlignment="1">
      <alignment vertical="center"/>
    </xf>
    <xf numFmtId="0" fontId="0" fillId="0" borderId="21" xfId="0" applyBorder="1"/>
    <xf numFmtId="0" fontId="16" fillId="0" borderId="4" xfId="0" applyFont="1" applyBorder="1"/>
    <xf numFmtId="0" fontId="37" fillId="4" borderId="0" xfId="0" applyFont="1" applyFill="1" applyBorder="1" applyAlignment="1" applyProtection="1">
      <alignment horizontal="right" vertical="top"/>
    </xf>
    <xf numFmtId="164" fontId="20" fillId="4" borderId="3" xfId="0" applyNumberFormat="1" applyFont="1" applyFill="1" applyBorder="1" applyAlignment="1" applyProtection="1">
      <alignment horizontal="centerContinuous" vertical="center"/>
    </xf>
    <xf numFmtId="164" fontId="20" fillId="4" borderId="4" xfId="0" applyNumberFormat="1" applyFont="1" applyFill="1" applyBorder="1" applyAlignment="1" applyProtection="1">
      <alignment horizontal="centerContinuous" vertical="center"/>
    </xf>
    <xf numFmtId="4" fontId="29" fillId="3" borderId="3" xfId="0" applyNumberFormat="1" applyFont="1" applyFill="1" applyBorder="1" applyAlignment="1" applyProtection="1">
      <alignment vertical="center"/>
      <protection locked="0"/>
    </xf>
    <xf numFmtId="171" fontId="29" fillId="3" borderId="29" xfId="8" applyNumberFormat="1" applyFont="1" applyFill="1" applyBorder="1" applyAlignment="1" applyProtection="1">
      <alignment horizontal="right" vertical="center"/>
      <protection locked="0"/>
    </xf>
    <xf numFmtId="0" fontId="20" fillId="0" borderId="22" xfId="0" applyFont="1" applyBorder="1" applyAlignment="1">
      <alignment vertical="center"/>
    </xf>
    <xf numFmtId="177" fontId="31" fillId="4" borderId="42" xfId="0" applyNumberFormat="1" applyFont="1" applyFill="1" applyBorder="1" applyAlignment="1" applyProtection="1">
      <alignment horizontal="right" vertical="center"/>
    </xf>
    <xf numFmtId="185" fontId="33" fillId="4" borderId="21" xfId="0" applyNumberFormat="1" applyFont="1" applyFill="1" applyBorder="1" applyAlignment="1" applyProtection="1">
      <alignment horizontal="right" vertical="center"/>
    </xf>
    <xf numFmtId="182" fontId="29" fillId="4" borderId="18" xfId="8" applyNumberFormat="1" applyFont="1" applyFill="1" applyBorder="1" applyAlignment="1" applyProtection="1">
      <alignment vertical="center"/>
    </xf>
    <xf numFmtId="0" fontId="29" fillId="0" borderId="0" xfId="0" applyFont="1" applyBorder="1" applyAlignment="1">
      <alignment horizontal="right" vertical="center"/>
    </xf>
    <xf numFmtId="4" fontId="29" fillId="4" borderId="3" xfId="0" applyNumberFormat="1" applyFont="1" applyFill="1" applyBorder="1" applyAlignment="1" applyProtection="1">
      <alignment vertical="center"/>
    </xf>
    <xf numFmtId="175" fontId="29" fillId="3" borderId="2" xfId="0" applyNumberFormat="1" applyFont="1" applyFill="1" applyBorder="1" applyAlignment="1" applyProtection="1">
      <alignment horizontal="right" vertical="center"/>
      <protection locked="0"/>
    </xf>
    <xf numFmtId="196" fontId="29" fillId="4" borderId="0" xfId="0" applyNumberFormat="1" applyFont="1" applyFill="1" applyBorder="1" applyAlignment="1" applyProtection="1">
      <alignment horizontal="right" vertical="center"/>
    </xf>
    <xf numFmtId="196" fontId="29" fillId="4" borderId="18" xfId="0" applyNumberFormat="1" applyFont="1" applyFill="1" applyBorder="1" applyAlignment="1" applyProtection="1">
      <alignment horizontal="right" vertical="center"/>
    </xf>
    <xf numFmtId="196" fontId="29" fillId="4" borderId="19" xfId="0" applyNumberFormat="1" applyFont="1" applyFill="1" applyBorder="1" applyAlignment="1" applyProtection="1">
      <alignment horizontal="right" vertical="center"/>
    </xf>
    <xf numFmtId="0" fontId="0" fillId="0" borderId="0" xfId="0" applyAlignment="1" applyProtection="1">
      <alignment vertical="top"/>
    </xf>
    <xf numFmtId="0" fontId="23" fillId="0" borderId="0" xfId="0" applyFont="1" applyAlignment="1" applyProtection="1">
      <alignment horizontal="right" vertical="top"/>
    </xf>
    <xf numFmtId="0" fontId="34" fillId="0" borderId="0" xfId="0" applyFont="1" applyAlignment="1" applyProtection="1">
      <alignment vertical="center"/>
    </xf>
    <xf numFmtId="0" fontId="0" fillId="0" borderId="0" xfId="0" applyProtection="1"/>
    <xf numFmtId="0" fontId="30" fillId="0" borderId="0" xfId="0" applyFont="1" applyAlignment="1" applyProtection="1">
      <alignment vertical="center"/>
    </xf>
    <xf numFmtId="0" fontId="29" fillId="0" borderId="0" xfId="0" applyFont="1" applyAlignment="1" applyProtection="1">
      <alignment vertical="center"/>
    </xf>
    <xf numFmtId="0" fontId="15" fillId="0" borderId="0" xfId="0" applyFont="1" applyAlignment="1" applyProtection="1">
      <alignment vertical="center"/>
    </xf>
    <xf numFmtId="0" fontId="0" fillId="0" borderId="0" xfId="0" applyAlignment="1" applyProtection="1">
      <alignment vertical="center"/>
    </xf>
    <xf numFmtId="0" fontId="29" fillId="4" borderId="6" xfId="8" applyFont="1" applyFill="1" applyBorder="1" applyAlignment="1" applyProtection="1">
      <alignment horizontal="centerContinuous" vertical="center"/>
    </xf>
    <xf numFmtId="170" fontId="31" fillId="4" borderId="13" xfId="6" applyNumberFormat="1" applyFont="1" applyFill="1" applyBorder="1" applyAlignment="1" applyProtection="1">
      <alignment horizontal="centerContinuous" vertical="center"/>
    </xf>
    <xf numFmtId="0" fontId="29" fillId="4" borderId="22" xfId="8" applyFont="1" applyFill="1" applyBorder="1" applyAlignment="1" applyProtection="1">
      <alignment horizontal="center" vertical="center"/>
    </xf>
    <xf numFmtId="173" fontId="29" fillId="4" borderId="42" xfId="0" applyNumberFormat="1" applyFont="1" applyFill="1" applyBorder="1" applyAlignment="1" applyProtection="1">
      <alignment horizontal="center" vertical="center"/>
    </xf>
    <xf numFmtId="168" fontId="29" fillId="4" borderId="0" xfId="0" applyNumberFormat="1" applyFont="1" applyFill="1" applyBorder="1" applyAlignment="1" applyProtection="1">
      <alignment horizontal="right" vertical="center"/>
    </xf>
    <xf numFmtId="170" fontId="33" fillId="4" borderId="15" xfId="6" applyNumberFormat="1" applyFont="1" applyFill="1" applyBorder="1" applyAlignment="1" applyProtection="1">
      <alignment vertical="center"/>
    </xf>
    <xf numFmtId="0" fontId="32" fillId="0" borderId="0" xfId="0" applyFont="1" applyAlignment="1" applyProtection="1">
      <alignment vertical="center"/>
    </xf>
    <xf numFmtId="0" fontId="0" fillId="0" borderId="0" xfId="0" applyBorder="1" applyAlignment="1" applyProtection="1">
      <alignment vertical="top"/>
    </xf>
    <xf numFmtId="0" fontId="36" fillId="0" borderId="0" xfId="0" applyFont="1" applyBorder="1" applyAlignment="1" applyProtection="1">
      <alignment vertical="center"/>
    </xf>
    <xf numFmtId="0" fontId="0" fillId="0" borderId="0" xfId="0" applyBorder="1" applyProtection="1"/>
    <xf numFmtId="0" fontId="0" fillId="0" borderId="0" xfId="0" applyBorder="1" applyAlignment="1" applyProtection="1">
      <alignment vertical="center"/>
    </xf>
    <xf numFmtId="0" fontId="29" fillId="0" borderId="5" xfId="0" applyFont="1" applyBorder="1" applyAlignment="1" applyProtection="1">
      <alignment vertical="center"/>
    </xf>
    <xf numFmtId="0" fontId="29" fillId="0" borderId="6" xfId="0" applyFont="1" applyBorder="1" applyAlignment="1" applyProtection="1">
      <alignment vertical="center"/>
    </xf>
    <xf numFmtId="0" fontId="29" fillId="0" borderId="13" xfId="0" applyFont="1" applyBorder="1" applyAlignment="1" applyProtection="1">
      <alignment vertical="center"/>
    </xf>
    <xf numFmtId="0" fontId="0" fillId="0" borderId="21" xfId="0" applyBorder="1" applyAlignment="1" applyProtection="1">
      <alignment horizontal="center"/>
    </xf>
    <xf numFmtId="0" fontId="0" fillId="0" borderId="23" xfId="0" applyBorder="1" applyAlignment="1" applyProtection="1">
      <alignment horizontal="center"/>
    </xf>
    <xf numFmtId="0" fontId="0" fillId="0" borderId="42" xfId="0" applyBorder="1" applyAlignment="1" applyProtection="1">
      <alignment horizontal="center"/>
    </xf>
    <xf numFmtId="179" fontId="29" fillId="4" borderId="49" xfId="0" applyNumberFormat="1" applyFont="1" applyFill="1" applyBorder="1" applyAlignment="1" applyProtection="1">
      <alignment horizontal="left" vertical="center"/>
    </xf>
    <xf numFmtId="0" fontId="29" fillId="4" borderId="0" xfId="0" applyFont="1" applyFill="1" applyAlignment="1" applyProtection="1">
      <alignment vertical="center"/>
    </xf>
    <xf numFmtId="0" fontId="29" fillId="4" borderId="4" xfId="0" applyFont="1" applyFill="1" applyBorder="1" applyAlignment="1" applyProtection="1">
      <alignment vertical="center"/>
    </xf>
    <xf numFmtId="0" fontId="20" fillId="4" borderId="7" xfId="0" applyFont="1" applyFill="1" applyBorder="1" applyAlignment="1" applyProtection="1">
      <alignment vertical="center"/>
    </xf>
    <xf numFmtId="190" fontId="29" fillId="4" borderId="7" xfId="0" applyNumberFormat="1" applyFont="1" applyFill="1" applyBorder="1" applyAlignment="1" applyProtection="1">
      <alignment horizontal="right" vertical="center"/>
    </xf>
    <xf numFmtId="0" fontId="0" fillId="4" borderId="0" xfId="0" applyFill="1" applyProtection="1"/>
    <xf numFmtId="0" fontId="36" fillId="0" borderId="0" xfId="0" applyFont="1" applyBorder="1" applyAlignment="1" applyProtection="1">
      <alignment horizontal="right" vertical="top"/>
    </xf>
    <xf numFmtId="0" fontId="22" fillId="0" borderId="0" xfId="0" applyFont="1" applyBorder="1" applyAlignment="1" applyProtection="1">
      <alignment vertical="top"/>
    </xf>
    <xf numFmtId="0" fontId="22" fillId="0" borderId="0" xfId="0" applyFont="1" applyBorder="1" applyAlignment="1" applyProtection="1">
      <alignment horizontal="center" vertical="center"/>
    </xf>
    <xf numFmtId="0" fontId="34" fillId="0" borderId="0" xfId="0" applyFont="1" applyAlignment="1" applyProtection="1">
      <alignment vertical="center"/>
      <protection locked="0"/>
    </xf>
    <xf numFmtId="0" fontId="0" fillId="0" borderId="0" xfId="0" applyProtection="1">
      <protection locked="0"/>
    </xf>
    <xf numFmtId="0" fontId="30" fillId="0" borderId="0" xfId="0" applyFont="1" applyAlignment="1" applyProtection="1">
      <alignment vertical="center"/>
      <protection locked="0"/>
    </xf>
    <xf numFmtId="0" fontId="29" fillId="0" borderId="0" xfId="0" applyFont="1" applyAlignment="1" applyProtection="1">
      <alignment vertical="center"/>
      <protection locked="0"/>
    </xf>
    <xf numFmtId="0" fontId="15" fillId="0" borderId="0" xfId="0" applyFont="1" applyAlignment="1" applyProtection="1">
      <alignment vertical="center"/>
      <protection locked="0"/>
    </xf>
    <xf numFmtId="0" fontId="36" fillId="4" borderId="0" xfId="0" applyFont="1" applyFill="1" applyBorder="1" applyAlignment="1" applyProtection="1">
      <alignment vertical="center"/>
    </xf>
    <xf numFmtId="0" fontId="0" fillId="4" borderId="0" xfId="0" applyFill="1" applyAlignment="1">
      <alignment horizontal="right"/>
    </xf>
    <xf numFmtId="173" fontId="20" fillId="0" borderId="6" xfId="6" applyNumberFormat="1" applyFont="1" applyBorder="1" applyAlignment="1" applyProtection="1">
      <alignment horizontal="centerContinuous" vertical="center"/>
      <protection locked="0"/>
    </xf>
    <xf numFmtId="173" fontId="20" fillId="0" borderId="50" xfId="6" applyNumberFormat="1" applyFont="1" applyBorder="1" applyAlignment="1" applyProtection="1">
      <alignment horizontal="center" vertical="center"/>
      <protection locked="0"/>
    </xf>
    <xf numFmtId="0" fontId="20" fillId="4" borderId="52" xfId="0" applyFont="1" applyFill="1" applyBorder="1" applyAlignment="1" applyProtection="1">
      <alignment horizontal="center" vertical="center"/>
    </xf>
    <xf numFmtId="176" fontId="22" fillId="4" borderId="9" xfId="0" applyNumberFormat="1" applyFont="1" applyFill="1" applyBorder="1" applyAlignment="1">
      <alignment vertical="center"/>
    </xf>
    <xf numFmtId="176" fontId="22" fillId="4" borderId="8" xfId="0" applyNumberFormat="1" applyFont="1" applyFill="1" applyBorder="1" applyAlignment="1">
      <alignment vertical="center"/>
    </xf>
    <xf numFmtId="176" fontId="22" fillId="4" borderId="53" xfId="0" applyNumberFormat="1" applyFont="1" applyFill="1" applyBorder="1" applyAlignment="1">
      <alignment vertical="center"/>
    </xf>
    <xf numFmtId="0" fontId="27" fillId="4" borderId="9" xfId="0" applyFont="1" applyFill="1" applyBorder="1" applyAlignment="1">
      <alignment horizontal="centerContinuous" vertical="center"/>
    </xf>
    <xf numFmtId="3" fontId="22" fillId="4" borderId="8" xfId="0" applyNumberFormat="1" applyFont="1" applyFill="1" applyBorder="1" applyAlignment="1">
      <alignment vertical="center"/>
    </xf>
    <xf numFmtId="3" fontId="22" fillId="4" borderId="53" xfId="0" applyNumberFormat="1" applyFont="1" applyFill="1" applyBorder="1" applyAlignment="1">
      <alignment vertical="center"/>
    </xf>
    <xf numFmtId="190" fontId="29" fillId="3" borderId="14" xfId="0" applyNumberFormat="1" applyFont="1" applyFill="1" applyBorder="1" applyAlignment="1" applyProtection="1">
      <alignment horizontal="right" vertical="center"/>
      <protection locked="0"/>
    </xf>
    <xf numFmtId="177" fontId="29" fillId="4" borderId="18" xfId="0" applyNumberFormat="1" applyFont="1" applyFill="1" applyBorder="1" applyAlignment="1" applyProtection="1">
      <alignment horizontal="right" vertical="center"/>
    </xf>
    <xf numFmtId="177" fontId="29" fillId="4" borderId="14" xfId="0" applyNumberFormat="1" applyFont="1" applyFill="1" applyBorder="1" applyAlignment="1" applyProtection="1">
      <alignment horizontal="right" vertical="center"/>
    </xf>
    <xf numFmtId="0" fontId="40" fillId="0" borderId="18" xfId="0" applyFont="1" applyFill="1" applyBorder="1" applyAlignment="1">
      <alignment horizontal="center" vertical="center"/>
    </xf>
    <xf numFmtId="170" fontId="29" fillId="4" borderId="14" xfId="0" applyNumberFormat="1" applyFont="1" applyFill="1" applyBorder="1" applyAlignment="1" applyProtection="1">
      <alignment horizontal="right" vertical="center"/>
    </xf>
    <xf numFmtId="0" fontId="29" fillId="4" borderId="16" xfId="0" applyFont="1" applyFill="1" applyBorder="1" applyAlignment="1">
      <alignment horizontal="center" vertical="center"/>
    </xf>
    <xf numFmtId="0" fontId="29" fillId="4" borderId="18" xfId="0" applyFont="1" applyFill="1" applyBorder="1" applyAlignment="1">
      <alignment horizontal="center" vertical="center"/>
    </xf>
    <xf numFmtId="0" fontId="29" fillId="4" borderId="23" xfId="0" applyFont="1" applyFill="1" applyBorder="1" applyAlignment="1">
      <alignment horizontal="center" vertical="center"/>
    </xf>
    <xf numFmtId="195" fontId="29" fillId="3" borderId="18" xfId="0" applyNumberFormat="1" applyFont="1" applyFill="1" applyBorder="1" applyAlignment="1" applyProtection="1">
      <alignment horizontal="right" vertical="center"/>
      <protection locked="0"/>
    </xf>
    <xf numFmtId="195" fontId="29" fillId="3" borderId="14" xfId="0" applyNumberFormat="1" applyFont="1" applyFill="1" applyBorder="1" applyAlignment="1" applyProtection="1">
      <alignment horizontal="right" vertical="center"/>
      <protection locked="0"/>
    </xf>
    <xf numFmtId="170" fontId="32" fillId="4" borderId="7" xfId="0" applyNumberFormat="1" applyFont="1" applyFill="1" applyBorder="1" applyAlignment="1" applyProtection="1">
      <alignment horizontal="right" vertical="center"/>
    </xf>
    <xf numFmtId="0" fontId="29" fillId="0" borderId="44" xfId="0" applyFont="1" applyBorder="1" applyAlignment="1">
      <alignment horizontal="centerContinuous" vertical="center"/>
    </xf>
    <xf numFmtId="181" fontId="29" fillId="4" borderId="19" xfId="0" applyNumberFormat="1" applyFont="1" applyFill="1" applyBorder="1" applyAlignment="1" applyProtection="1">
      <alignment horizontal="right" vertical="center"/>
    </xf>
    <xf numFmtId="1" fontId="29" fillId="4" borderId="5" xfId="0" applyNumberFormat="1"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protection locked="0"/>
    </xf>
    <xf numFmtId="182" fontId="29" fillId="3" borderId="14" xfId="0" applyNumberFormat="1" applyFont="1" applyFill="1" applyBorder="1" applyAlignment="1" applyProtection="1">
      <alignment horizontal="right" vertical="center"/>
      <protection locked="0"/>
    </xf>
    <xf numFmtId="182" fontId="29" fillId="3" borderId="15" xfId="0" applyNumberFormat="1" applyFont="1" applyFill="1" applyBorder="1" applyAlignment="1" applyProtection="1">
      <alignment horizontal="right" vertical="center"/>
      <protection locked="0"/>
    </xf>
    <xf numFmtId="173" fontId="20" fillId="0" borderId="5" xfId="6" applyNumberFormat="1" applyFont="1" applyBorder="1" applyAlignment="1" applyProtection="1">
      <alignment horizontal="centerContinuous" vertical="center"/>
      <protection locked="0"/>
    </xf>
    <xf numFmtId="0" fontId="0" fillId="0" borderId="0" xfId="0" applyAlignment="1" applyProtection="1">
      <alignment horizontal="right"/>
    </xf>
    <xf numFmtId="0" fontId="16" fillId="0" borderId="7" xfId="0" applyFont="1" applyBorder="1"/>
    <xf numFmtId="0" fontId="16" fillId="0" borderId="0" xfId="0" applyFont="1" applyProtection="1"/>
    <xf numFmtId="0" fontId="0" fillId="0" borderId="0" xfId="0" applyBorder="1" applyAlignment="1">
      <alignment horizontal="center"/>
    </xf>
    <xf numFmtId="0" fontId="48" fillId="4" borderId="0" xfId="0" applyFont="1" applyFill="1" applyAlignment="1" applyProtection="1">
      <alignment horizontal="left" vertical="top"/>
    </xf>
    <xf numFmtId="0" fontId="15" fillId="0" borderId="0" xfId="0" applyFont="1" applyAlignment="1">
      <alignment horizontal="centerContinuous"/>
    </xf>
    <xf numFmtId="0" fontId="16" fillId="0" borderId="0" xfId="0" applyFont="1" applyAlignment="1">
      <alignment horizontal="left"/>
    </xf>
    <xf numFmtId="0" fontId="0" fillId="0" borderId="10" xfId="0" applyBorder="1"/>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7" xfId="0" applyBorder="1" applyAlignment="1">
      <alignment horizontal="center"/>
    </xf>
    <xf numFmtId="172" fontId="0" fillId="0" borderId="3" xfId="0" applyNumberFormat="1" applyBorder="1"/>
    <xf numFmtId="172" fontId="0" fillId="0" borderId="4" xfId="0" applyNumberFormat="1" applyBorder="1"/>
    <xf numFmtId="0" fontId="15" fillId="0" borderId="21" xfId="0" applyFont="1" applyBorder="1" applyAlignment="1">
      <alignment vertical="center"/>
    </xf>
    <xf numFmtId="0" fontId="0" fillId="0" borderId="35" xfId="0" applyBorder="1" applyAlignment="1">
      <alignment vertical="center"/>
    </xf>
    <xf numFmtId="0" fontId="51" fillId="0" borderId="0" xfId="0" applyFont="1" applyAlignment="1">
      <alignment vertical="top"/>
    </xf>
    <xf numFmtId="49" fontId="0" fillId="0" borderId="3" xfId="0" applyNumberFormat="1" applyBorder="1" applyAlignment="1">
      <alignment horizontal="left"/>
    </xf>
    <xf numFmtId="49" fontId="0" fillId="0" borderId="4" xfId="0" applyNumberFormat="1" applyBorder="1" applyAlignment="1">
      <alignment horizontal="left"/>
    </xf>
    <xf numFmtId="187" fontId="33" fillId="4" borderId="7" xfId="6" applyNumberFormat="1" applyFont="1" applyFill="1" applyBorder="1" applyAlignment="1" applyProtection="1">
      <alignment vertical="center"/>
    </xf>
    <xf numFmtId="187" fontId="33" fillId="4" borderId="14" xfId="6" applyNumberFormat="1" applyFont="1" applyFill="1" applyBorder="1" applyAlignment="1" applyProtection="1">
      <alignment vertical="center"/>
    </xf>
    <xf numFmtId="187" fontId="33" fillId="4" borderId="15" xfId="6" applyNumberFormat="1" applyFont="1" applyFill="1" applyBorder="1" applyAlignment="1" applyProtection="1">
      <alignment vertical="center"/>
    </xf>
    <xf numFmtId="173" fontId="20" fillId="0" borderId="0" xfId="0" applyNumberFormat="1" applyFont="1" applyBorder="1" applyAlignment="1">
      <alignment horizontal="right" vertical="center"/>
    </xf>
    <xf numFmtId="173" fontId="20" fillId="2" borderId="0" xfId="0" applyNumberFormat="1" applyFont="1" applyFill="1" applyBorder="1" applyAlignment="1">
      <alignment horizontal="right" vertical="center"/>
    </xf>
    <xf numFmtId="0" fontId="37" fillId="0" borderId="0" xfId="0" applyFont="1" applyAlignment="1">
      <alignment horizontal="right"/>
    </xf>
    <xf numFmtId="49" fontId="0" fillId="0" borderId="21" xfId="0" applyNumberFormat="1" applyBorder="1" applyAlignment="1">
      <alignment horizontal="left"/>
    </xf>
    <xf numFmtId="1" fontId="0" fillId="0" borderId="3" xfId="0" applyNumberFormat="1" applyBorder="1" applyAlignment="1">
      <alignment horizontal="center"/>
    </xf>
    <xf numFmtId="1" fontId="0" fillId="0" borderId="0" xfId="0" applyNumberFormat="1" applyBorder="1" applyAlignment="1">
      <alignment horizontal="center"/>
    </xf>
    <xf numFmtId="1" fontId="0" fillId="0" borderId="10" xfId="0" applyNumberFormat="1" applyBorder="1" applyAlignment="1">
      <alignment horizontal="center"/>
    </xf>
    <xf numFmtId="1" fontId="0" fillId="0" borderId="4" xfId="0" applyNumberFormat="1" applyBorder="1" applyAlignment="1">
      <alignment horizontal="center"/>
    </xf>
    <xf numFmtId="1" fontId="0" fillId="0" borderId="7" xfId="0" applyNumberFormat="1" applyBorder="1" applyAlignment="1">
      <alignment horizontal="center"/>
    </xf>
    <xf numFmtId="1" fontId="0" fillId="0" borderId="24" xfId="0" applyNumberFormat="1" applyBorder="1" applyAlignment="1">
      <alignment horizontal="center"/>
    </xf>
    <xf numFmtId="166" fontId="0" fillId="0" borderId="0" xfId="0" applyNumberFormat="1" applyBorder="1" applyAlignment="1">
      <alignment horizontal="center"/>
    </xf>
    <xf numFmtId="166" fontId="0" fillId="0" borderId="10" xfId="0" applyNumberFormat="1" applyBorder="1" applyAlignment="1">
      <alignment horizontal="center"/>
    </xf>
    <xf numFmtId="166" fontId="0" fillId="0" borderId="3" xfId="0" applyNumberForma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6" fontId="0" fillId="0" borderId="35" xfId="0" applyNumberFormat="1" applyBorder="1" applyAlignment="1">
      <alignment horizontal="center"/>
    </xf>
    <xf numFmtId="166" fontId="0" fillId="0" borderId="22" xfId="0" applyNumberFormat="1" applyBorder="1" applyAlignment="1">
      <alignment horizontal="center" vertical="center"/>
    </xf>
    <xf numFmtId="166" fontId="0" fillId="0" borderId="35" xfId="0" applyNumberFormat="1" applyBorder="1" applyAlignment="1">
      <alignment horizontal="center" vertical="center"/>
    </xf>
    <xf numFmtId="166" fontId="0" fillId="0" borderId="24" xfId="0" applyNumberFormat="1" applyBorder="1" applyAlignment="1">
      <alignment horizontal="center"/>
    </xf>
    <xf numFmtId="166" fontId="0" fillId="0" borderId="7" xfId="0" applyNumberFormat="1" applyBorder="1" applyAlignment="1">
      <alignment horizontal="center"/>
    </xf>
    <xf numFmtId="0" fontId="0" fillId="0" borderId="8" xfId="0" applyBorder="1" applyAlignment="1">
      <alignment horizontal="center"/>
    </xf>
    <xf numFmtId="0" fontId="0" fillId="0" borderId="55" xfId="0" applyBorder="1" applyAlignment="1">
      <alignment horizontal="center"/>
    </xf>
    <xf numFmtId="0" fontId="0" fillId="0" borderId="22" xfId="0" applyBorder="1" applyAlignment="1">
      <alignment horizontal="center" vertical="center"/>
    </xf>
    <xf numFmtId="0" fontId="0" fillId="0" borderId="53" xfId="0" applyBorder="1" applyAlignment="1">
      <alignment horizontal="center"/>
    </xf>
    <xf numFmtId="0" fontId="26" fillId="0" borderId="9" xfId="0" applyFont="1" applyBorder="1" applyAlignment="1">
      <alignment horizontal="centerContinuous" vertical="center"/>
    </xf>
    <xf numFmtId="179" fontId="22" fillId="3" borderId="16" xfId="0" applyNumberFormat="1" applyFont="1" applyFill="1" applyBorder="1" applyAlignment="1" applyProtection="1">
      <alignment vertical="center"/>
      <protection locked="0"/>
    </xf>
    <xf numFmtId="179" fontId="22" fillId="0" borderId="9" xfId="0" applyNumberFormat="1" applyFont="1" applyBorder="1" applyAlignment="1">
      <alignment vertical="center"/>
    </xf>
    <xf numFmtId="179" fontId="22" fillId="3" borderId="18" xfId="0" applyNumberFormat="1" applyFont="1" applyFill="1" applyBorder="1" applyAlignment="1" applyProtection="1">
      <alignment vertical="center"/>
      <protection locked="0"/>
    </xf>
    <xf numFmtId="179" fontId="22" fillId="0" borderId="8" xfId="0" applyNumberFormat="1" applyFont="1" applyBorder="1" applyAlignment="1">
      <alignment vertical="center"/>
    </xf>
    <xf numFmtId="0" fontId="27" fillId="0" borderId="4" xfId="0" applyFont="1" applyBorder="1" applyAlignment="1">
      <alignment vertical="center"/>
    </xf>
    <xf numFmtId="0" fontId="22" fillId="0" borderId="0" xfId="0" applyFont="1" applyBorder="1" applyAlignment="1">
      <alignment horizontal="right" vertical="center"/>
    </xf>
    <xf numFmtId="181" fontId="29" fillId="4" borderId="2" xfId="0" applyNumberFormat="1" applyFont="1" applyFill="1" applyBorder="1" applyAlignment="1" applyProtection="1">
      <alignment horizontal="right" vertical="center"/>
    </xf>
    <xf numFmtId="185" fontId="29" fillId="4" borderId="18" xfId="0" applyNumberFormat="1" applyFont="1" applyFill="1" applyBorder="1" applyAlignment="1" applyProtection="1">
      <alignment horizontal="right" vertical="center"/>
    </xf>
    <xf numFmtId="185" fontId="29" fillId="4" borderId="23" xfId="0" applyNumberFormat="1" applyFont="1" applyFill="1" applyBorder="1" applyAlignment="1" applyProtection="1">
      <alignment horizontal="right" vertical="center"/>
    </xf>
    <xf numFmtId="186" fontId="29" fillId="0" borderId="11" xfId="0" applyNumberFormat="1" applyFont="1" applyFill="1" applyBorder="1" applyAlignment="1">
      <alignment horizontal="right" vertical="center"/>
    </xf>
    <xf numFmtId="0" fontId="0" fillId="0" borderId="5" xfId="0" applyBorder="1"/>
    <xf numFmtId="185" fontId="27" fillId="4" borderId="37" xfId="6" applyNumberFormat="1" applyFont="1" applyFill="1" applyBorder="1" applyAlignment="1" applyProtection="1">
      <alignment vertical="center"/>
    </xf>
    <xf numFmtId="0" fontId="40" fillId="0" borderId="16" xfId="0" applyFont="1" applyFill="1" applyBorder="1" applyAlignment="1">
      <alignment horizontal="center" vertical="center"/>
    </xf>
    <xf numFmtId="0" fontId="40" fillId="0" borderId="17" xfId="0" applyFont="1" applyFill="1" applyBorder="1" applyAlignment="1">
      <alignment horizontal="center" vertical="center"/>
    </xf>
    <xf numFmtId="0" fontId="0" fillId="0" borderId="21" xfId="0" applyBorder="1" applyAlignment="1">
      <alignment vertical="top"/>
    </xf>
    <xf numFmtId="0" fontId="40" fillId="0" borderId="23" xfId="0" applyFont="1" applyFill="1" applyBorder="1" applyAlignment="1">
      <alignment horizontal="center" vertical="top"/>
    </xf>
    <xf numFmtId="0" fontId="40" fillId="0" borderId="42" xfId="0" applyFont="1" applyFill="1" applyBorder="1" applyAlignment="1">
      <alignment horizontal="center" vertical="top"/>
    </xf>
    <xf numFmtId="0" fontId="29" fillId="0" borderId="22" xfId="0" applyFont="1" applyBorder="1" applyAlignment="1">
      <alignment horizontal="right" vertical="center"/>
    </xf>
    <xf numFmtId="166" fontId="29" fillId="4" borderId="2" xfId="0" applyNumberFormat="1" applyFont="1" applyFill="1" applyBorder="1" applyAlignment="1" applyProtection="1">
      <alignment horizontal="center" vertical="center"/>
    </xf>
    <xf numFmtId="0" fontId="29" fillId="0" borderId="44" xfId="8" applyFont="1" applyBorder="1" applyAlignment="1">
      <alignment horizontal="left" vertical="center"/>
    </xf>
    <xf numFmtId="171" fontId="29" fillId="4" borderId="20" xfId="8" applyNumberFormat="1" applyFont="1" applyFill="1" applyBorder="1" applyAlignment="1" applyProtection="1">
      <alignment vertical="center"/>
    </xf>
    <xf numFmtId="176" fontId="29" fillId="4" borderId="29" xfId="8" applyNumberFormat="1" applyFont="1" applyFill="1" applyBorder="1" applyAlignment="1" applyProtection="1">
      <alignment horizontal="right" vertical="center"/>
    </xf>
    <xf numFmtId="170" fontId="29" fillId="4" borderId="20" xfId="0" applyNumberFormat="1" applyFont="1" applyFill="1" applyBorder="1" applyAlignment="1" applyProtection="1">
      <alignment horizontal="right" vertical="center"/>
    </xf>
    <xf numFmtId="0" fontId="26" fillId="4" borderId="0" xfId="8" applyFont="1" applyFill="1" applyBorder="1" applyAlignment="1" applyProtection="1">
      <alignment horizontal="right" vertical="center"/>
    </xf>
    <xf numFmtId="0" fontId="26" fillId="4" borderId="7" xfId="8" applyFont="1" applyFill="1" applyBorder="1" applyAlignment="1" applyProtection="1">
      <alignment horizontal="right" vertical="center"/>
    </xf>
    <xf numFmtId="0" fontId="22" fillId="4" borderId="7" xfId="8" applyFont="1" applyFill="1" applyBorder="1" applyAlignment="1" applyProtection="1">
      <alignment vertical="center"/>
    </xf>
    <xf numFmtId="0" fontId="29" fillId="0" borderId="23" xfId="0" applyFont="1" applyBorder="1" applyAlignment="1">
      <alignment horizontal="left" vertical="center"/>
    </xf>
    <xf numFmtId="0" fontId="29" fillId="0" borderId="14" xfId="0" applyFont="1" applyBorder="1" applyAlignment="1">
      <alignment horizontal="right" vertical="center"/>
    </xf>
    <xf numFmtId="0" fontId="32" fillId="0" borderId="22" xfId="0" applyFont="1" applyBorder="1" applyAlignment="1">
      <alignment vertical="center"/>
    </xf>
    <xf numFmtId="0" fontId="32" fillId="0" borderId="7" xfId="0" applyFont="1" applyBorder="1" applyAlignment="1">
      <alignment vertical="center"/>
    </xf>
    <xf numFmtId="0" fontId="53" fillId="0" borderId="23" xfId="0" applyFont="1" applyBorder="1" applyAlignment="1">
      <alignment vertical="center"/>
    </xf>
    <xf numFmtId="0" fontId="53" fillId="0" borderId="14" xfId="0" applyFont="1" applyBorder="1" applyAlignment="1">
      <alignment vertical="center"/>
    </xf>
    <xf numFmtId="191" fontId="53" fillId="3" borderId="21" xfId="0" applyNumberFormat="1" applyFont="1" applyFill="1" applyBorder="1" applyAlignment="1" applyProtection="1">
      <alignment horizontal="right" vertical="center"/>
      <protection locked="0"/>
    </xf>
    <xf numFmtId="179" fontId="53" fillId="3" borderId="4" xfId="0" applyNumberFormat="1" applyFont="1" applyFill="1" applyBorder="1" applyAlignment="1" applyProtection="1">
      <alignment horizontal="right" vertical="center"/>
      <protection locked="0"/>
    </xf>
    <xf numFmtId="0" fontId="54" fillId="0" borderId="23" xfId="0" applyFont="1" applyBorder="1" applyAlignment="1">
      <alignment vertical="center"/>
    </xf>
    <xf numFmtId="0" fontId="54" fillId="0" borderId="14" xfId="0" applyFont="1" applyBorder="1" applyAlignment="1">
      <alignment vertical="center"/>
    </xf>
    <xf numFmtId="191" fontId="54" fillId="3" borderId="42" xfId="0" applyNumberFormat="1" applyFont="1" applyFill="1" applyBorder="1" applyAlignment="1" applyProtection="1">
      <alignment horizontal="right" vertical="center"/>
      <protection locked="0"/>
    </xf>
    <xf numFmtId="179" fontId="54" fillId="3" borderId="15" xfId="0" applyNumberFormat="1" applyFont="1" applyFill="1" applyBorder="1" applyAlignment="1" applyProtection="1">
      <alignment horizontal="right" vertical="center"/>
      <protection locked="0"/>
    </xf>
    <xf numFmtId="177" fontId="55" fillId="4" borderId="3" xfId="0" applyNumberFormat="1" applyFont="1" applyFill="1" applyBorder="1" applyAlignment="1" applyProtection="1">
      <alignment horizontal="right" vertical="center"/>
    </xf>
    <xf numFmtId="177" fontId="56" fillId="4" borderId="19" xfId="0" applyNumberFormat="1" applyFont="1" applyFill="1" applyBorder="1" applyAlignment="1" applyProtection="1">
      <alignment horizontal="right" vertical="center"/>
    </xf>
    <xf numFmtId="176" fontId="29" fillId="0" borderId="54" xfId="8" applyNumberFormat="1" applyFont="1" applyBorder="1" applyAlignment="1" applyProtection="1">
      <alignment horizontal="right" vertical="center"/>
    </xf>
    <xf numFmtId="171" fontId="29" fillId="4" borderId="45" xfId="8" applyNumberFormat="1" applyFont="1" applyFill="1" applyBorder="1" applyAlignment="1" applyProtection="1">
      <alignment horizontal="right" vertical="center"/>
    </xf>
    <xf numFmtId="171" fontId="29" fillId="4" borderId="20" xfId="8" applyNumberFormat="1" applyFont="1" applyFill="1" applyBorder="1" applyAlignment="1" applyProtection="1">
      <alignment horizontal="right" vertical="center"/>
    </xf>
    <xf numFmtId="170" fontId="54" fillId="4" borderId="39" xfId="0" applyNumberFormat="1" applyFont="1" applyFill="1" applyBorder="1" applyAlignment="1" applyProtection="1">
      <alignment horizontal="right" vertical="center"/>
    </xf>
    <xf numFmtId="0" fontId="55" fillId="0" borderId="45" xfId="0" applyFont="1" applyBorder="1" applyAlignment="1">
      <alignment horizontal="center" vertical="center"/>
    </xf>
    <xf numFmtId="0" fontId="0" fillId="0" borderId="48" xfId="0" applyBorder="1"/>
    <xf numFmtId="0" fontId="56" fillId="0" borderId="45" xfId="0" applyFont="1" applyBorder="1" applyAlignment="1">
      <alignment horizontal="center" vertical="center"/>
    </xf>
    <xf numFmtId="0" fontId="0" fillId="0" borderId="48" xfId="0" applyBorder="1" applyAlignment="1">
      <alignment horizontal="center"/>
    </xf>
    <xf numFmtId="0" fontId="55" fillId="0" borderId="48" xfId="0" applyFont="1" applyBorder="1" applyAlignment="1">
      <alignment horizontal="center" vertical="center"/>
    </xf>
    <xf numFmtId="0" fontId="56" fillId="0" borderId="48" xfId="0" applyFont="1" applyBorder="1" applyAlignment="1">
      <alignment horizontal="center" vertical="center"/>
    </xf>
    <xf numFmtId="177" fontId="55" fillId="4" borderId="21" xfId="0" applyNumberFormat="1" applyFont="1" applyFill="1" applyBorder="1" applyAlignment="1" applyProtection="1">
      <alignment horizontal="right" vertical="center"/>
    </xf>
    <xf numFmtId="177" fontId="56" fillId="4" borderId="42" xfId="0" applyNumberFormat="1" applyFont="1" applyFill="1" applyBorder="1" applyAlignment="1" applyProtection="1">
      <alignment horizontal="right" vertical="center"/>
    </xf>
    <xf numFmtId="177" fontId="31" fillId="4" borderId="24" xfId="0" applyNumberFormat="1" applyFont="1" applyFill="1" applyBorder="1" applyAlignment="1" applyProtection="1">
      <alignment horizontal="right" vertical="center"/>
    </xf>
    <xf numFmtId="0" fontId="33" fillId="0" borderId="26" xfId="0" applyFont="1" applyBorder="1" applyAlignment="1">
      <alignment horizontal="centerContinuous" vertical="center"/>
    </xf>
    <xf numFmtId="176" fontId="29" fillId="4" borderId="1" xfId="8" applyNumberFormat="1" applyFont="1" applyFill="1" applyBorder="1" applyAlignment="1" applyProtection="1">
      <alignment horizontal="right" vertical="center"/>
    </xf>
    <xf numFmtId="0" fontId="0" fillId="0" borderId="7" xfId="0" applyBorder="1" applyAlignment="1">
      <alignment horizontal="right" vertical="center"/>
    </xf>
    <xf numFmtId="0" fontId="0" fillId="0" borderId="25" xfId="0" applyBorder="1" applyAlignment="1">
      <alignment horizontal="centerContinuous" vertical="center" wrapText="1"/>
    </xf>
    <xf numFmtId="171" fontId="33" fillId="4" borderId="18" xfId="8" applyNumberFormat="1" applyFont="1" applyFill="1" applyBorder="1" applyAlignment="1" applyProtection="1">
      <alignment horizontal="center" vertical="center"/>
    </xf>
    <xf numFmtId="169" fontId="29" fillId="4" borderId="18" xfId="8" applyNumberFormat="1" applyFont="1" applyFill="1" applyBorder="1" applyAlignment="1" applyProtection="1">
      <alignment horizontal="right" vertical="center"/>
    </xf>
    <xf numFmtId="169" fontId="29" fillId="4" borderId="23" xfId="8" applyNumberFormat="1" applyFont="1" applyFill="1" applyBorder="1" applyAlignment="1" applyProtection="1">
      <alignment horizontal="right" vertical="center"/>
    </xf>
    <xf numFmtId="0" fontId="29" fillId="0" borderId="28" xfId="8" applyFont="1" applyBorder="1" applyAlignment="1" applyProtection="1">
      <alignment horizontal="center" vertical="center"/>
    </xf>
    <xf numFmtId="0" fontId="29" fillId="0" borderId="22" xfId="8" applyFont="1" applyBorder="1" applyAlignment="1" applyProtection="1">
      <alignment horizontal="center" vertical="center"/>
    </xf>
    <xf numFmtId="193" fontId="29" fillId="4" borderId="0" xfId="8" applyNumberFormat="1" applyFont="1" applyFill="1" applyBorder="1" applyAlignment="1" applyProtection="1">
      <alignment horizontal="right" vertical="center"/>
    </xf>
    <xf numFmtId="193" fontId="29" fillId="4" borderId="22" xfId="8" applyNumberFormat="1" applyFont="1" applyFill="1" applyBorder="1" applyAlignment="1" applyProtection="1">
      <alignment horizontal="right" vertical="center"/>
    </xf>
    <xf numFmtId="2" fontId="0" fillId="0" borderId="0" xfId="0" applyNumberFormat="1" applyBorder="1" applyAlignment="1">
      <alignment horizontal="center"/>
    </xf>
    <xf numFmtId="2" fontId="0" fillId="4" borderId="0" xfId="0" applyNumberFormat="1" applyFill="1" applyBorder="1" applyAlignment="1">
      <alignment horizontal="center"/>
    </xf>
    <xf numFmtId="2" fontId="0" fillId="4" borderId="10" xfId="0" applyNumberFormat="1" applyFill="1" applyBorder="1" applyAlignment="1">
      <alignment horizontal="center"/>
    </xf>
    <xf numFmtId="199" fontId="0" fillId="0" borderId="10" xfId="0" applyNumberFormat="1" applyBorder="1" applyAlignment="1">
      <alignment horizontal="right"/>
    </xf>
    <xf numFmtId="9" fontId="0" fillId="0" borderId="0" xfId="0" applyNumberFormat="1" applyBorder="1" applyAlignment="1">
      <alignment horizontal="centerContinuous"/>
    </xf>
    <xf numFmtId="9" fontId="0" fillId="0" borderId="10" xfId="0" applyNumberFormat="1" applyBorder="1" applyAlignment="1">
      <alignment horizontal="centerContinuous"/>
    </xf>
    <xf numFmtId="0" fontId="15" fillId="4" borderId="5" xfId="0" applyFont="1" applyFill="1" applyBorder="1" applyAlignment="1">
      <alignment horizontal="centerContinuous" vertical="center"/>
    </xf>
    <xf numFmtId="2" fontId="0" fillId="0" borderId="7" xfId="0" applyNumberFormat="1" applyBorder="1" applyAlignment="1">
      <alignment horizontal="center"/>
    </xf>
    <xf numFmtId="2" fontId="0" fillId="4" borderId="7" xfId="0" applyNumberFormat="1" applyFill="1" applyBorder="1" applyAlignment="1">
      <alignment horizontal="center"/>
    </xf>
    <xf numFmtId="2" fontId="0" fillId="4" borderId="24" xfId="0" applyNumberFormat="1" applyFill="1" applyBorder="1" applyAlignment="1">
      <alignment horizontal="center"/>
    </xf>
    <xf numFmtId="184" fontId="0" fillId="4" borderId="0" xfId="0" applyNumberFormat="1" applyFill="1" applyBorder="1" applyAlignment="1">
      <alignment horizontal="right" vertical="center"/>
    </xf>
    <xf numFmtId="184" fontId="0" fillId="4" borderId="7" xfId="0" applyNumberFormat="1" applyFill="1" applyBorder="1" applyAlignment="1">
      <alignment horizontal="right" vertical="center"/>
    </xf>
    <xf numFmtId="0" fontId="20" fillId="4" borderId="7" xfId="0" applyFont="1" applyFill="1" applyBorder="1" applyAlignment="1">
      <alignment horizontal="left" vertical="center"/>
    </xf>
    <xf numFmtId="0" fontId="0" fillId="0" borderId="53" xfId="0" applyBorder="1" applyAlignment="1">
      <alignment horizontal="center" vertical="center"/>
    </xf>
    <xf numFmtId="2" fontId="0" fillId="0" borderId="7" xfId="0" applyNumberFormat="1" applyBorder="1" applyAlignment="1">
      <alignment horizontal="center" vertical="center"/>
    </xf>
    <xf numFmtId="2" fontId="0" fillId="4" borderId="24" xfId="0" applyNumberFormat="1" applyFill="1" applyBorder="1" applyAlignment="1">
      <alignment horizontal="center" vertical="center"/>
    </xf>
    <xf numFmtId="2" fontId="0" fillId="0" borderId="7" xfId="0" applyNumberFormat="1" applyBorder="1" applyAlignment="1">
      <alignment horizontal="centerContinuous" vertical="center"/>
    </xf>
    <xf numFmtId="2" fontId="0" fillId="4" borderId="24" xfId="0" applyNumberFormat="1" applyFill="1" applyBorder="1" applyAlignment="1">
      <alignment horizontal="centerContinuous" vertical="center"/>
    </xf>
    <xf numFmtId="0" fontId="15" fillId="0" borderId="22" xfId="0" applyFont="1" applyBorder="1" applyAlignment="1">
      <alignment vertical="center"/>
    </xf>
    <xf numFmtId="0" fontId="20" fillId="4" borderId="7" xfId="0" applyFont="1" applyFill="1" applyBorder="1" applyAlignment="1">
      <alignment horizontal="left" vertical="top"/>
    </xf>
    <xf numFmtId="49" fontId="16" fillId="0" borderId="3" xfId="0" applyNumberFormat="1" applyFont="1" applyBorder="1" applyAlignment="1">
      <alignment horizontal="left"/>
    </xf>
    <xf numFmtId="0" fontId="22" fillId="0" borderId="30" xfId="0" applyFont="1" applyBorder="1" applyAlignment="1">
      <alignment vertical="center"/>
    </xf>
    <xf numFmtId="176" fontId="22" fillId="3" borderId="1" xfId="0" applyNumberFormat="1" applyFont="1" applyFill="1" applyBorder="1" applyAlignment="1" applyProtection="1">
      <alignment vertical="center"/>
      <protection locked="0"/>
    </xf>
    <xf numFmtId="176" fontId="22" fillId="3" borderId="37" xfId="0" applyNumberFormat="1" applyFont="1" applyFill="1" applyBorder="1" applyAlignment="1" applyProtection="1">
      <alignment vertical="center"/>
      <protection locked="0"/>
    </xf>
    <xf numFmtId="176" fontId="22" fillId="4" borderId="52" xfId="0" applyNumberFormat="1" applyFont="1" applyFill="1" applyBorder="1" applyAlignment="1">
      <alignment vertical="center"/>
    </xf>
    <xf numFmtId="0" fontId="0" fillId="0" borderId="0" xfId="0" applyBorder="1" applyAlignment="1">
      <alignment horizontal="centerContinuous" vertical="center"/>
    </xf>
    <xf numFmtId="185" fontId="59" fillId="4" borderId="13" xfId="6" applyNumberFormat="1" applyFont="1" applyFill="1" applyBorder="1" applyAlignment="1">
      <alignment vertical="center"/>
    </xf>
    <xf numFmtId="2" fontId="29" fillId="0" borderId="56" xfId="0" applyNumberFormat="1" applyFont="1" applyBorder="1" applyAlignment="1">
      <alignment vertical="center"/>
    </xf>
    <xf numFmtId="0" fontId="29" fillId="4" borderId="7" xfId="0" applyFont="1" applyFill="1" applyBorder="1" applyAlignment="1">
      <alignment horizontal="right" vertical="center"/>
    </xf>
    <xf numFmtId="176" fontId="29" fillId="4" borderId="20" xfId="8" applyNumberFormat="1" applyFont="1" applyFill="1" applyBorder="1" applyAlignment="1" applyProtection="1">
      <alignment horizontal="center" vertical="center"/>
    </xf>
    <xf numFmtId="0" fontId="0" fillId="3" borderId="15" xfId="0" applyFill="1" applyBorder="1" applyAlignment="1" applyProtection="1">
      <alignment horizontal="center" vertical="center"/>
      <protection locked="0"/>
    </xf>
    <xf numFmtId="0" fontId="29" fillId="4" borderId="4" xfId="0" applyFont="1" applyFill="1" applyBorder="1" applyAlignment="1">
      <alignment vertical="center"/>
    </xf>
    <xf numFmtId="0" fontId="29" fillId="4" borderId="7" xfId="0" applyFont="1" applyFill="1" applyBorder="1" applyAlignment="1">
      <alignment vertical="center"/>
    </xf>
    <xf numFmtId="170" fontId="53" fillId="3" borderId="15" xfId="0" applyNumberFormat="1" applyFont="1" applyFill="1" applyBorder="1" applyAlignment="1" applyProtection="1">
      <alignment horizontal="right" vertical="center"/>
      <protection locked="0"/>
    </xf>
    <xf numFmtId="177" fontId="29" fillId="4" borderId="20" xfId="0" applyNumberFormat="1" applyFont="1" applyFill="1" applyBorder="1" applyAlignment="1" applyProtection="1">
      <alignment horizontal="right" vertical="center"/>
    </xf>
    <xf numFmtId="170" fontId="40" fillId="0" borderId="0" xfId="0" applyNumberFormat="1" applyFont="1" applyBorder="1" applyAlignment="1" applyProtection="1">
      <alignment vertical="center"/>
    </xf>
    <xf numFmtId="0" fontId="40" fillId="0" borderId="0" xfId="0" applyFont="1" applyBorder="1" applyAlignment="1">
      <alignment vertical="center"/>
    </xf>
    <xf numFmtId="0" fontId="20" fillId="0" borderId="5" xfId="0" applyFont="1" applyBorder="1" applyAlignment="1">
      <alignment horizontal="center" vertical="center"/>
    </xf>
    <xf numFmtId="2" fontId="40" fillId="0" borderId="0" xfId="0" applyNumberFormat="1" applyFont="1" applyBorder="1" applyAlignment="1">
      <alignment vertical="center"/>
    </xf>
    <xf numFmtId="2" fontId="40" fillId="0" borderId="0" xfId="0" applyNumberFormat="1" applyFont="1" applyBorder="1" applyAlignment="1">
      <alignment horizontal="center" vertical="center"/>
    </xf>
    <xf numFmtId="173" fontId="31" fillId="2" borderId="10" xfId="6" applyNumberFormat="1" applyFont="1" applyFill="1" applyBorder="1" applyAlignment="1">
      <alignment horizontal="centerContinuous" vertical="center"/>
    </xf>
    <xf numFmtId="173" fontId="27" fillId="2" borderId="3" xfId="6" applyNumberFormat="1" applyFont="1" applyFill="1" applyBorder="1" applyAlignment="1">
      <alignment vertical="center"/>
    </xf>
    <xf numFmtId="185" fontId="27" fillId="2" borderId="13" xfId="6" applyNumberFormat="1" applyFont="1" applyFill="1" applyBorder="1" applyAlignment="1">
      <alignment vertical="center"/>
    </xf>
    <xf numFmtId="173" fontId="29" fillId="2" borderId="3" xfId="6" applyNumberFormat="1" applyFont="1" applyFill="1" applyBorder="1" applyAlignment="1">
      <alignment vertical="center"/>
    </xf>
    <xf numFmtId="173" fontId="29" fillId="2" borderId="4" xfId="6" applyNumberFormat="1" applyFont="1" applyFill="1" applyBorder="1" applyAlignment="1">
      <alignment vertical="center"/>
    </xf>
    <xf numFmtId="185" fontId="27" fillId="2" borderId="24" xfId="6" applyNumberFormat="1" applyFont="1" applyFill="1" applyBorder="1" applyAlignment="1">
      <alignment vertical="center"/>
    </xf>
    <xf numFmtId="173" fontId="29" fillId="2" borderId="42" xfId="0" applyNumberFormat="1" applyFont="1" applyFill="1" applyBorder="1" applyAlignment="1">
      <alignment horizontal="center" vertical="center"/>
    </xf>
    <xf numFmtId="170" fontId="29" fillId="2" borderId="19" xfId="0" applyNumberFormat="1" applyFont="1" applyFill="1" applyBorder="1" applyAlignment="1">
      <alignment horizontal="right" vertical="center"/>
    </xf>
    <xf numFmtId="170" fontId="29" fillId="2" borderId="15" xfId="0" applyNumberFormat="1" applyFont="1" applyFill="1" applyBorder="1" applyAlignment="1">
      <alignment horizontal="right" vertical="center"/>
    </xf>
    <xf numFmtId="177" fontId="29" fillId="2" borderId="3" xfId="0" applyNumberFormat="1" applyFont="1" applyFill="1" applyBorder="1" applyAlignment="1">
      <alignment horizontal="right" vertical="center"/>
    </xf>
    <xf numFmtId="173" fontId="29" fillId="2" borderId="41" xfId="0" applyNumberFormat="1" applyFont="1" applyFill="1" applyBorder="1" applyAlignment="1">
      <alignment horizontal="center" vertical="center"/>
    </xf>
    <xf numFmtId="170" fontId="33" fillId="2" borderId="39" xfId="6" applyNumberFormat="1" applyFont="1" applyFill="1" applyBorder="1" applyAlignment="1">
      <alignment horizontal="center" vertical="center"/>
    </xf>
    <xf numFmtId="170" fontId="33" fillId="2" borderId="42" xfId="6" applyNumberFormat="1" applyFont="1" applyFill="1" applyBorder="1" applyAlignment="1">
      <alignment vertical="center"/>
    </xf>
    <xf numFmtId="166" fontId="26" fillId="2" borderId="0" xfId="6" applyNumberFormat="1" applyFont="1" applyFill="1" applyBorder="1" applyAlignment="1">
      <alignment vertical="center"/>
    </xf>
    <xf numFmtId="170" fontId="16" fillId="2" borderId="10" xfId="0" applyNumberFormat="1" applyFont="1" applyFill="1" applyBorder="1" applyAlignment="1">
      <alignment vertical="center"/>
    </xf>
    <xf numFmtId="166" fontId="27" fillId="2" borderId="7" xfId="6" applyNumberFormat="1" applyFont="1" applyFill="1" applyBorder="1" applyAlignment="1">
      <alignment vertical="center"/>
    </xf>
    <xf numFmtId="170" fontId="32" fillId="2" borderId="24" xfId="0" applyNumberFormat="1" applyFont="1" applyFill="1" applyBorder="1" applyAlignment="1">
      <alignment horizontal="right" vertical="center"/>
    </xf>
    <xf numFmtId="0" fontId="0" fillId="2" borderId="21" xfId="0" applyFill="1" applyBorder="1"/>
    <xf numFmtId="170" fontId="29" fillId="2" borderId="24" xfId="0" applyNumberFormat="1" applyFont="1" applyFill="1" applyBorder="1" applyAlignment="1" applyProtection="1">
      <alignment horizontal="right" vertical="center"/>
    </xf>
    <xf numFmtId="173" fontId="27" fillId="2" borderId="24" xfId="0" applyNumberFormat="1" applyFont="1" applyFill="1" applyBorder="1" applyAlignment="1">
      <alignment horizontal="right" vertical="center"/>
    </xf>
    <xf numFmtId="173" fontId="22" fillId="2" borderId="3" xfId="0" applyNumberFormat="1" applyFont="1" applyFill="1" applyBorder="1" applyAlignment="1">
      <alignment vertical="center"/>
    </xf>
    <xf numFmtId="169" fontId="29" fillId="5" borderId="33" xfId="8" applyNumberFormat="1" applyFont="1" applyFill="1" applyBorder="1" applyAlignment="1" applyProtection="1">
      <alignment vertical="center"/>
      <protection locked="0"/>
    </xf>
    <xf numFmtId="0" fontId="19" fillId="2" borderId="0" xfId="8" applyFont="1" applyFill="1" applyBorder="1" applyAlignment="1" applyProtection="1">
      <alignment vertical="center"/>
    </xf>
    <xf numFmtId="170" fontId="29" fillId="2" borderId="0" xfId="0" applyNumberFormat="1" applyFont="1" applyFill="1" applyBorder="1" applyAlignment="1" applyProtection="1">
      <alignment horizontal="right" vertical="center"/>
    </xf>
    <xf numFmtId="177" fontId="55" fillId="2" borderId="21" xfId="0" applyNumberFormat="1" applyFont="1" applyFill="1" applyBorder="1" applyAlignment="1" applyProtection="1">
      <alignment horizontal="right" vertical="center"/>
    </xf>
    <xf numFmtId="177" fontId="56" fillId="2" borderId="42" xfId="0" applyNumberFormat="1" applyFont="1" applyFill="1" applyBorder="1" applyAlignment="1" applyProtection="1">
      <alignment horizontal="right" vertical="center"/>
    </xf>
    <xf numFmtId="177" fontId="31" fillId="2" borderId="24" xfId="0" applyNumberFormat="1" applyFont="1" applyFill="1" applyBorder="1" applyAlignment="1" applyProtection="1">
      <alignment horizontal="right" vertical="center"/>
    </xf>
    <xf numFmtId="177" fontId="55" fillId="2" borderId="3" xfId="0" applyNumberFormat="1" applyFont="1" applyFill="1" applyBorder="1" applyAlignment="1" applyProtection="1">
      <alignment horizontal="right" vertical="center"/>
    </xf>
    <xf numFmtId="177" fontId="56" fillId="2" borderId="19" xfId="0" applyNumberFormat="1" applyFont="1" applyFill="1" applyBorder="1" applyAlignment="1" applyProtection="1">
      <alignment horizontal="right" vertical="center"/>
    </xf>
    <xf numFmtId="177" fontId="31" fillId="2" borderId="42" xfId="0" applyNumberFormat="1" applyFont="1" applyFill="1" applyBorder="1" applyAlignment="1" applyProtection="1">
      <alignment horizontal="right" vertical="center"/>
    </xf>
    <xf numFmtId="4" fontId="29" fillId="2" borderId="3" xfId="0" applyNumberFormat="1" applyFont="1" applyFill="1" applyBorder="1" applyAlignment="1" applyProtection="1">
      <alignment vertical="center"/>
    </xf>
    <xf numFmtId="164" fontId="20" fillId="2" borderId="3" xfId="0" applyNumberFormat="1" applyFont="1" applyFill="1" applyBorder="1" applyAlignment="1" applyProtection="1">
      <alignment horizontal="centerContinuous" vertical="center"/>
    </xf>
    <xf numFmtId="164" fontId="20" fillId="2" borderId="4" xfId="0" applyNumberFormat="1" applyFont="1" applyFill="1" applyBorder="1" applyAlignment="1" applyProtection="1">
      <alignment horizontal="centerContinuous" vertical="center"/>
    </xf>
    <xf numFmtId="173" fontId="29" fillId="2" borderId="40" xfId="0" applyNumberFormat="1" applyFont="1" applyFill="1" applyBorder="1" applyAlignment="1">
      <alignment horizontal="center" vertical="center"/>
    </xf>
    <xf numFmtId="173" fontId="27" fillId="2" borderId="3" xfId="0" applyNumberFormat="1" applyFont="1" applyFill="1" applyBorder="1" applyAlignment="1">
      <alignment horizontal="right" vertical="center"/>
    </xf>
    <xf numFmtId="177" fontId="29" fillId="2" borderId="32" xfId="0" applyNumberFormat="1" applyFont="1" applyFill="1" applyBorder="1" applyAlignment="1">
      <alignment horizontal="right" vertical="center"/>
    </xf>
    <xf numFmtId="177" fontId="29" fillId="2" borderId="33" xfId="0" applyNumberFormat="1" applyFont="1" applyFill="1" applyBorder="1" applyAlignment="1">
      <alignment horizontal="right" vertical="center"/>
    </xf>
    <xf numFmtId="0" fontId="29" fillId="2" borderId="40" xfId="8" applyFont="1" applyFill="1" applyBorder="1" applyAlignment="1">
      <alignment horizontal="center" vertical="center"/>
    </xf>
    <xf numFmtId="197" fontId="27" fillId="2" borderId="0" xfId="6" applyNumberFormat="1" applyFont="1" applyFill="1" applyBorder="1" applyAlignment="1">
      <alignment vertical="center"/>
    </xf>
    <xf numFmtId="179" fontId="29" fillId="2" borderId="27" xfId="0" applyNumberFormat="1" applyFont="1" applyFill="1" applyBorder="1" applyAlignment="1">
      <alignment horizontal="center" vertical="center"/>
    </xf>
    <xf numFmtId="179" fontId="29" fillId="2" borderId="43" xfId="0" applyNumberFormat="1" applyFont="1" applyFill="1" applyBorder="1" applyAlignment="1">
      <alignment horizontal="center" vertical="center"/>
    </xf>
    <xf numFmtId="173" fontId="32" fillId="2" borderId="3" xfId="0" applyNumberFormat="1" applyFont="1" applyFill="1" applyBorder="1" applyAlignment="1">
      <alignment horizontal="right" vertical="center"/>
    </xf>
    <xf numFmtId="170" fontId="29" fillId="2" borderId="19" xfId="0" applyNumberFormat="1" applyFont="1" applyFill="1" applyBorder="1" applyAlignment="1" applyProtection="1">
      <alignment horizontal="right" vertical="center"/>
    </xf>
    <xf numFmtId="170" fontId="29" fillId="2" borderId="15" xfId="0" applyNumberFormat="1" applyFont="1" applyFill="1" applyBorder="1" applyAlignment="1" applyProtection="1">
      <alignment horizontal="right" vertical="center"/>
    </xf>
    <xf numFmtId="0" fontId="29" fillId="2" borderId="0" xfId="0" applyFont="1" applyFill="1" applyBorder="1" applyAlignment="1">
      <alignment horizontal="center" vertical="center"/>
    </xf>
    <xf numFmtId="185" fontId="27" fillId="2" borderId="46" xfId="6" applyNumberFormat="1" applyFont="1" applyFill="1" applyBorder="1" applyAlignment="1">
      <alignment vertical="center"/>
    </xf>
    <xf numFmtId="170" fontId="54" fillId="2" borderId="39" xfId="0" applyNumberFormat="1" applyFont="1" applyFill="1" applyBorder="1" applyAlignment="1" applyProtection="1">
      <alignment horizontal="right" vertical="center"/>
    </xf>
    <xf numFmtId="2" fontId="36" fillId="0" borderId="0" xfId="0" applyNumberFormat="1" applyFont="1" applyBorder="1" applyAlignment="1">
      <alignment horizontal="right" vertical="top"/>
    </xf>
    <xf numFmtId="175" fontId="20" fillId="4" borderId="15" xfId="0" applyNumberFormat="1" applyFont="1" applyFill="1" applyBorder="1" applyAlignment="1" applyProtection="1">
      <alignment horizontal="right" vertical="center"/>
    </xf>
    <xf numFmtId="175" fontId="29" fillId="0" borderId="19" xfId="0" applyNumberFormat="1" applyFont="1" applyBorder="1" applyAlignment="1">
      <alignment horizontal="right" vertical="center"/>
    </xf>
    <xf numFmtId="0" fontId="0" fillId="4" borderId="7" xfId="0" applyFill="1" applyBorder="1" applyAlignment="1">
      <alignment horizontal="right"/>
    </xf>
    <xf numFmtId="0" fontId="29" fillId="4" borderId="10" xfId="0" applyFont="1" applyFill="1" applyBorder="1" applyAlignment="1">
      <alignment horizontal="right" vertical="center"/>
    </xf>
    <xf numFmtId="0" fontId="29" fillId="4" borderId="24" xfId="0" applyFont="1" applyFill="1" applyBorder="1" applyAlignment="1">
      <alignment horizontal="right" vertical="center"/>
    </xf>
    <xf numFmtId="0" fontId="34" fillId="4" borderId="36" xfId="0" applyFont="1" applyFill="1" applyBorder="1" applyAlignment="1">
      <alignment horizontal="centerContinuous" vertical="center"/>
    </xf>
    <xf numFmtId="179" fontId="53" fillId="4" borderId="4" xfId="0" applyNumberFormat="1" applyFont="1" applyFill="1" applyBorder="1" applyAlignment="1" applyProtection="1">
      <alignment horizontal="right" vertical="center"/>
      <protection locked="0"/>
    </xf>
    <xf numFmtId="179" fontId="54" fillId="4" borderId="15" xfId="0" applyNumberFormat="1" applyFont="1" applyFill="1" applyBorder="1" applyAlignment="1" applyProtection="1">
      <alignment horizontal="right" vertical="center"/>
      <protection locked="0"/>
    </xf>
    <xf numFmtId="185" fontId="29" fillId="4" borderId="7" xfId="0" applyNumberFormat="1" applyFont="1" applyFill="1" applyBorder="1" applyAlignment="1" applyProtection="1">
      <alignment horizontal="right" vertical="center"/>
      <protection locked="0"/>
    </xf>
    <xf numFmtId="0" fontId="0" fillId="4" borderId="8" xfId="0" applyFill="1" applyBorder="1" applyAlignment="1">
      <alignment horizontal="center"/>
    </xf>
    <xf numFmtId="0" fontId="0" fillId="4" borderId="53" xfId="0" applyFill="1" applyBorder="1" applyAlignment="1">
      <alignment horizontal="center"/>
    </xf>
    <xf numFmtId="179" fontId="22" fillId="3" borderId="20" xfId="0" applyNumberFormat="1" applyFont="1" applyFill="1" applyBorder="1" applyAlignment="1" applyProtection="1">
      <alignment horizontal="right" vertical="center"/>
      <protection locked="0"/>
    </xf>
    <xf numFmtId="179" fontId="22" fillId="4" borderId="53" xfId="0" applyNumberFormat="1" applyFont="1" applyFill="1" applyBorder="1" applyAlignment="1">
      <alignment vertical="center"/>
    </xf>
    <xf numFmtId="0" fontId="22" fillId="4" borderId="0" xfId="0" applyFont="1" applyFill="1" applyBorder="1" applyAlignment="1">
      <alignment vertical="top"/>
    </xf>
    <xf numFmtId="0" fontId="16" fillId="4" borderId="0" xfId="0" applyFont="1" applyFill="1" applyBorder="1" applyAlignment="1">
      <alignment horizontal="left" vertical="top"/>
    </xf>
    <xf numFmtId="0" fontId="36" fillId="4" borderId="0" xfId="0" applyFont="1" applyFill="1" applyBorder="1" applyAlignment="1">
      <alignment horizontal="right" vertical="top"/>
    </xf>
    <xf numFmtId="0" fontId="29" fillId="4" borderId="46" xfId="0" applyFont="1" applyFill="1" applyBorder="1" applyAlignment="1">
      <alignment vertical="center"/>
    </xf>
    <xf numFmtId="0" fontId="29" fillId="4" borderId="47" xfId="0" applyFont="1" applyFill="1" applyBorder="1" applyAlignment="1">
      <alignment horizontal="left" vertical="center"/>
    </xf>
    <xf numFmtId="0" fontId="0" fillId="4" borderId="47" xfId="0" applyFill="1" applyBorder="1"/>
    <xf numFmtId="0" fontId="29" fillId="4" borderId="16" xfId="0" applyFont="1" applyFill="1" applyBorder="1" applyAlignment="1">
      <alignment horizontal="centerContinuous" vertical="center"/>
    </xf>
    <xf numFmtId="0" fontId="29" fillId="4" borderId="6" xfId="0" applyFont="1" applyFill="1" applyBorder="1" applyAlignment="1">
      <alignment horizontal="centerContinuous" vertical="center"/>
    </xf>
    <xf numFmtId="0" fontId="29" fillId="4" borderId="17" xfId="0" applyFont="1" applyFill="1" applyBorder="1" applyAlignment="1">
      <alignment horizontal="center" vertical="center"/>
    </xf>
    <xf numFmtId="0" fontId="29" fillId="4" borderId="21" xfId="0" applyFont="1" applyFill="1" applyBorder="1" applyAlignment="1">
      <alignment vertical="center"/>
    </xf>
    <xf numFmtId="0" fontId="29" fillId="4" borderId="22" xfId="0" applyFont="1" applyFill="1" applyBorder="1" applyAlignment="1">
      <alignment horizontal="left" vertical="center"/>
    </xf>
    <xf numFmtId="0" fontId="0" fillId="4" borderId="22" xfId="0" applyFill="1" applyBorder="1"/>
    <xf numFmtId="0" fontId="40" fillId="4" borderId="18"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42" xfId="0" applyFont="1" applyFill="1" applyBorder="1" applyAlignment="1">
      <alignment horizontal="center" vertical="center"/>
    </xf>
    <xf numFmtId="0" fontId="29" fillId="4" borderId="3" xfId="0" applyFont="1" applyFill="1" applyBorder="1" applyAlignment="1">
      <alignment vertical="center"/>
    </xf>
    <xf numFmtId="0" fontId="29" fillId="4" borderId="0" xfId="0" applyFont="1" applyFill="1" applyBorder="1" applyAlignment="1">
      <alignment vertical="center"/>
    </xf>
    <xf numFmtId="175" fontId="29" fillId="4" borderId="19" xfId="0" applyNumberFormat="1" applyFont="1" applyFill="1" applyBorder="1" applyAlignment="1">
      <alignment horizontal="right" vertical="center"/>
    </xf>
    <xf numFmtId="0" fontId="36" fillId="4" borderId="0" xfId="0" applyFont="1" applyFill="1" applyBorder="1" applyAlignment="1" applyProtection="1">
      <alignment horizontal="right" vertical="top"/>
    </xf>
    <xf numFmtId="0" fontId="22" fillId="4" borderId="0" xfId="0" applyFont="1" applyFill="1" applyBorder="1" applyAlignment="1" applyProtection="1">
      <alignment vertical="top"/>
    </xf>
    <xf numFmtId="2" fontId="29" fillId="3" borderId="45" xfId="8" applyNumberFormat="1" applyFont="1" applyFill="1" applyBorder="1" applyAlignment="1" applyProtection="1">
      <alignment horizontal="right" vertical="center"/>
      <protection locked="0"/>
    </xf>
    <xf numFmtId="171" fontId="0" fillId="0" borderId="0" xfId="0" applyNumberFormat="1"/>
    <xf numFmtId="190" fontId="29" fillId="3" borderId="57" xfId="0" applyNumberFormat="1" applyFont="1" applyFill="1" applyBorder="1" applyAlignment="1" applyProtection="1">
      <alignment horizontal="right" vertical="center"/>
      <protection locked="0"/>
    </xf>
    <xf numFmtId="181" fontId="29" fillId="4" borderId="0" xfId="0" applyNumberFormat="1" applyFont="1" applyFill="1" applyBorder="1" applyAlignment="1" applyProtection="1">
      <alignment horizontal="right" vertical="center"/>
    </xf>
    <xf numFmtId="170" fontId="32" fillId="4" borderId="31" xfId="0" applyNumberFormat="1" applyFont="1" applyFill="1" applyBorder="1" applyAlignment="1" applyProtection="1">
      <alignment horizontal="right" vertical="center"/>
    </xf>
    <xf numFmtId="0" fontId="20" fillId="0" borderId="0" xfId="0" applyFont="1" applyAlignment="1">
      <alignment vertical="center"/>
    </xf>
    <xf numFmtId="0" fontId="22" fillId="0" borderId="0" xfId="0" applyFont="1" applyAlignment="1">
      <alignment vertical="center"/>
    </xf>
    <xf numFmtId="1" fontId="22" fillId="0" borderId="0" xfId="0" applyNumberFormat="1" applyFont="1" applyAlignment="1">
      <alignment vertical="center"/>
    </xf>
    <xf numFmtId="0" fontId="22" fillId="0" borderId="6" xfId="0" applyFont="1" applyBorder="1" applyAlignment="1">
      <alignment vertical="center" wrapText="1"/>
    </xf>
    <xf numFmtId="0" fontId="36" fillId="0" borderId="7" xfId="0" applyFont="1" applyBorder="1" applyAlignment="1">
      <alignment vertical="center"/>
    </xf>
    <xf numFmtId="0" fontId="43" fillId="0" borderId="0" xfId="0" applyFont="1"/>
    <xf numFmtId="0" fontId="29" fillId="0" borderId="0" xfId="0" applyFont="1" applyBorder="1" applyAlignment="1">
      <alignment horizontal="right" vertical="top"/>
    </xf>
    <xf numFmtId="0" fontId="43" fillId="0" borderId="0" xfId="0" applyFont="1" applyAlignment="1">
      <alignment horizontal="centerContinuous" vertical="center"/>
    </xf>
    <xf numFmtId="0" fontId="35" fillId="0" borderId="0" xfId="0" applyFont="1" applyBorder="1" applyAlignment="1">
      <alignment horizontal="right" vertical="top"/>
    </xf>
    <xf numFmtId="0" fontId="43" fillId="0" borderId="0" xfId="0" applyFont="1" applyBorder="1" applyAlignment="1">
      <alignment vertical="center"/>
    </xf>
    <xf numFmtId="0" fontId="35" fillId="0" borderId="0" xfId="0" applyFont="1" applyAlignment="1">
      <alignment horizontal="right" vertical="center"/>
    </xf>
    <xf numFmtId="0" fontId="43" fillId="0" borderId="0" xfId="0" applyFont="1" applyAlignment="1">
      <alignment vertical="center"/>
    </xf>
    <xf numFmtId="0" fontId="22" fillId="0" borderId="0" xfId="0" applyFont="1"/>
    <xf numFmtId="0" fontId="0" fillId="4" borderId="3" xfId="0" applyFill="1" applyBorder="1" applyAlignment="1">
      <alignment horizontal="centerContinuous" vertical="center" wrapText="1"/>
    </xf>
    <xf numFmtId="0" fontId="0" fillId="4" borderId="25" xfId="0" applyFill="1" applyBorder="1" applyAlignment="1">
      <alignment horizontal="centerContinuous" vertical="center" wrapText="1"/>
    </xf>
    <xf numFmtId="0" fontId="0" fillId="4" borderId="4" xfId="0" applyFill="1" applyBorder="1" applyAlignment="1">
      <alignment horizontal="centerContinuous" vertical="center" wrapText="1"/>
    </xf>
    <xf numFmtId="176" fontId="22" fillId="3" borderId="58" xfId="0" applyNumberFormat="1" applyFont="1" applyFill="1" applyBorder="1" applyAlignment="1" applyProtection="1">
      <alignment vertical="center"/>
      <protection locked="0"/>
    </xf>
    <xf numFmtId="176" fontId="22" fillId="3" borderId="45" xfId="0" applyNumberFormat="1" applyFont="1" applyFill="1" applyBorder="1" applyAlignment="1" applyProtection="1">
      <alignment vertical="center"/>
      <protection locked="0"/>
    </xf>
    <xf numFmtId="176" fontId="22" fillId="3" borderId="15" xfId="0" applyNumberFormat="1" applyFont="1" applyFill="1" applyBorder="1" applyAlignment="1" applyProtection="1">
      <alignment vertical="center"/>
      <protection locked="0"/>
    </xf>
    <xf numFmtId="0" fontId="29" fillId="4" borderId="7" xfId="8" applyFont="1" applyFill="1" applyBorder="1" applyAlignment="1" applyProtection="1">
      <alignment vertical="center"/>
    </xf>
    <xf numFmtId="170" fontId="29" fillId="4" borderId="40" xfId="0" applyNumberFormat="1" applyFont="1" applyFill="1" applyBorder="1" applyAlignment="1" applyProtection="1">
      <alignment horizontal="right" vertical="center"/>
    </xf>
    <xf numFmtId="170" fontId="29" fillId="4" borderId="2" xfId="0" applyNumberFormat="1" applyFont="1" applyFill="1" applyBorder="1" applyAlignment="1" applyProtection="1">
      <alignment horizontal="right" vertical="center"/>
    </xf>
    <xf numFmtId="0" fontId="22" fillId="0" borderId="13" xfId="0" applyFont="1" applyBorder="1" applyAlignment="1">
      <alignment vertical="center"/>
    </xf>
    <xf numFmtId="170" fontId="29" fillId="4" borderId="29" xfId="0" applyNumberFormat="1" applyFont="1" applyFill="1" applyBorder="1" applyAlignment="1" applyProtection="1">
      <alignment horizontal="right" vertical="center"/>
    </xf>
    <xf numFmtId="0" fontId="29" fillId="5" borderId="10" xfId="0" applyFont="1" applyFill="1" applyBorder="1" applyAlignment="1" applyProtection="1">
      <alignment horizontal="right" vertical="center"/>
      <protection locked="0"/>
    </xf>
    <xf numFmtId="170" fontId="54" fillId="3" borderId="15" xfId="0" applyNumberFormat="1" applyFont="1" applyFill="1" applyBorder="1" applyAlignment="1" applyProtection="1">
      <alignment horizontal="right" vertical="center"/>
      <protection locked="0"/>
    </xf>
    <xf numFmtId="0" fontId="29" fillId="5" borderId="0" xfId="8" applyFont="1" applyFill="1" applyBorder="1" applyAlignment="1" applyProtection="1">
      <alignment vertical="center"/>
      <protection locked="0"/>
    </xf>
    <xf numFmtId="0" fontId="29" fillId="0" borderId="24" xfId="0" applyFont="1" applyBorder="1" applyAlignment="1" applyProtection="1">
      <alignment vertical="center"/>
    </xf>
    <xf numFmtId="0" fontId="35" fillId="0" borderId="0" xfId="0" applyFont="1"/>
    <xf numFmtId="0" fontId="20" fillId="0" borderId="0" xfId="0" applyFont="1"/>
    <xf numFmtId="0" fontId="40" fillId="0" borderId="0" xfId="0" applyFont="1"/>
    <xf numFmtId="0" fontId="0" fillId="0" borderId="0" xfId="0" applyAlignment="1" applyProtection="1">
      <alignment horizontal="centerContinuous" vertical="center"/>
    </xf>
    <xf numFmtId="0" fontId="37" fillId="0" borderId="0" xfId="0" applyFont="1" applyBorder="1" applyAlignment="1" applyProtection="1">
      <alignment vertical="top"/>
    </xf>
    <xf numFmtId="0" fontId="29" fillId="0" borderId="0" xfId="0" applyFont="1" applyAlignment="1" applyProtection="1">
      <alignment horizontal="right" vertical="center"/>
    </xf>
    <xf numFmtId="0" fontId="36" fillId="0" borderId="0" xfId="0" applyFont="1" applyBorder="1" applyAlignment="1" applyProtection="1">
      <alignment horizontal="left" vertical="top"/>
    </xf>
    <xf numFmtId="0" fontId="16" fillId="0" borderId="0" xfId="0" applyFont="1" applyBorder="1" applyAlignment="1" applyProtection="1">
      <alignment horizontal="left" vertical="center"/>
    </xf>
    <xf numFmtId="0" fontId="23" fillId="0" borderId="0" xfId="0" applyFont="1" applyAlignment="1" applyProtection="1">
      <alignment horizontal="right" vertical="center"/>
    </xf>
    <xf numFmtId="0" fontId="29" fillId="0" borderId="0" xfId="0" applyFont="1" applyAlignment="1" applyProtection="1">
      <alignment horizontal="left" vertical="top"/>
    </xf>
    <xf numFmtId="0" fontId="16" fillId="0" borderId="0" xfId="0" applyFont="1" applyBorder="1" applyAlignment="1" applyProtection="1">
      <alignment horizontal="left" vertical="top"/>
    </xf>
    <xf numFmtId="0" fontId="24" fillId="0" borderId="0" xfId="0" applyFont="1" applyAlignment="1" applyProtection="1">
      <alignment horizontal="right" vertical="center"/>
    </xf>
    <xf numFmtId="0" fontId="38" fillId="0" borderId="0" xfId="0" applyFont="1" applyAlignment="1" applyProtection="1">
      <alignment vertical="center"/>
    </xf>
    <xf numFmtId="0" fontId="31" fillId="0" borderId="5" xfId="0" applyFont="1" applyBorder="1" applyAlignment="1" applyProtection="1">
      <alignment vertical="center"/>
    </xf>
    <xf numFmtId="0" fontId="20" fillId="0" borderId="6" xfId="0" applyFont="1" applyBorder="1" applyAlignment="1" applyProtection="1">
      <alignment vertical="center"/>
    </xf>
    <xf numFmtId="0" fontId="29" fillId="0" borderId="16" xfId="0" applyFont="1" applyFill="1" applyBorder="1" applyAlignment="1" applyProtection="1">
      <alignment horizontal="center" vertical="center"/>
    </xf>
    <xf numFmtId="0" fontId="29" fillId="0" borderId="16" xfId="0" applyFont="1" applyFill="1" applyBorder="1" applyAlignment="1" applyProtection="1">
      <alignment horizontal="centerContinuous" vertical="center"/>
    </xf>
    <xf numFmtId="0" fontId="29" fillId="0" borderId="6" xfId="0" applyFont="1" applyFill="1" applyBorder="1" applyAlignment="1" applyProtection="1">
      <alignment horizontal="centerContinuous" vertical="center"/>
    </xf>
    <xf numFmtId="0" fontId="32" fillId="0" borderId="6" xfId="0" applyFont="1" applyFill="1" applyBorder="1" applyAlignment="1" applyProtection="1">
      <alignment horizontal="centerContinuous" vertical="center"/>
    </xf>
    <xf numFmtId="0" fontId="32" fillId="0" borderId="13" xfId="0" applyFont="1" applyFill="1" applyBorder="1" applyAlignment="1" applyProtection="1">
      <alignment horizontal="centerContinuous" vertical="center"/>
    </xf>
    <xf numFmtId="0" fontId="29" fillId="0" borderId="9" xfId="0" applyFont="1" applyFill="1" applyBorder="1" applyAlignment="1" applyProtection="1">
      <alignment horizontal="center" vertical="center"/>
    </xf>
    <xf numFmtId="0" fontId="31" fillId="0" borderId="3" xfId="0" applyFont="1" applyBorder="1" applyAlignment="1" applyProtection="1">
      <alignment vertical="center"/>
    </xf>
    <xf numFmtId="0" fontId="29" fillId="0" borderId="18" xfId="0" applyFont="1" applyFill="1" applyBorder="1" applyAlignment="1" applyProtection="1">
      <alignment horizontal="center" vertical="center"/>
    </xf>
    <xf numFmtId="0" fontId="40" fillId="0" borderId="18" xfId="0" applyFont="1" applyFill="1" applyBorder="1" applyAlignment="1" applyProtection="1">
      <alignment horizontal="center" vertical="center"/>
    </xf>
    <xf numFmtId="0" fontId="32" fillId="0" borderId="18" xfId="0" applyFont="1" applyFill="1" applyBorder="1" applyAlignment="1" applyProtection="1">
      <alignment horizontal="center" vertical="center"/>
    </xf>
    <xf numFmtId="0" fontId="29" fillId="0" borderId="8" xfId="0" applyFont="1" applyFill="1" applyBorder="1" applyAlignment="1" applyProtection="1">
      <alignment horizontal="center" vertical="center"/>
    </xf>
    <xf numFmtId="0" fontId="31" fillId="0" borderId="21" xfId="0" applyFont="1" applyBorder="1" applyAlignment="1" applyProtection="1">
      <alignment vertical="center"/>
    </xf>
    <xf numFmtId="0" fontId="29" fillId="0" borderId="23"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177" fontId="29" fillId="0" borderId="32" xfId="0" applyNumberFormat="1" applyFont="1" applyBorder="1" applyAlignment="1" applyProtection="1">
      <alignment horizontal="right" vertical="center"/>
    </xf>
    <xf numFmtId="177" fontId="29" fillId="0" borderId="18" xfId="0" applyNumberFormat="1" applyFont="1" applyBorder="1" applyAlignment="1" applyProtection="1">
      <alignment horizontal="right" vertical="center"/>
    </xf>
    <xf numFmtId="177" fontId="29" fillId="0" borderId="19" xfId="0" applyNumberFormat="1" applyFont="1" applyBorder="1" applyAlignment="1" applyProtection="1">
      <alignment horizontal="right" vertical="center"/>
    </xf>
    <xf numFmtId="177" fontId="29" fillId="0" borderId="33" xfId="0" applyNumberFormat="1" applyFont="1" applyBorder="1" applyAlignment="1" applyProtection="1">
      <alignment horizontal="right" vertical="center"/>
    </xf>
    <xf numFmtId="177" fontId="29" fillId="0" borderId="14" xfId="0" applyNumberFormat="1" applyFont="1" applyBorder="1" applyAlignment="1" applyProtection="1">
      <alignment horizontal="right" vertical="center"/>
    </xf>
    <xf numFmtId="177" fontId="29" fillId="0" borderId="15" xfId="0" applyNumberFormat="1" applyFont="1" applyBorder="1" applyAlignment="1" applyProtection="1">
      <alignment horizontal="right" vertical="center"/>
    </xf>
    <xf numFmtId="0" fontId="0" fillId="0" borderId="4" xfId="0" applyBorder="1" applyAlignment="1" applyProtection="1">
      <alignment vertical="center"/>
    </xf>
    <xf numFmtId="0" fontId="0" fillId="0" borderId="7" xfId="0" applyBorder="1" applyAlignment="1" applyProtection="1">
      <alignment vertical="center"/>
    </xf>
    <xf numFmtId="170" fontId="15" fillId="0" borderId="20" xfId="0" applyNumberFormat="1" applyFont="1" applyBorder="1" applyAlignment="1" applyProtection="1">
      <alignment vertical="center"/>
    </xf>
    <xf numFmtId="170" fontId="43" fillId="0" borderId="7" xfId="0" applyNumberFormat="1" applyFont="1" applyBorder="1" applyAlignment="1" applyProtection="1">
      <alignment vertical="center"/>
    </xf>
    <xf numFmtId="177" fontId="32" fillId="4" borderId="14" xfId="0" applyNumberFormat="1" applyFont="1" applyFill="1" applyBorder="1" applyAlignment="1" applyProtection="1">
      <alignment horizontal="right" vertical="center"/>
    </xf>
    <xf numFmtId="177" fontId="32" fillId="4" borderId="12" xfId="0" applyNumberFormat="1" applyFont="1" applyFill="1" applyBorder="1" applyAlignment="1" applyProtection="1">
      <alignment horizontal="right" vertical="center"/>
    </xf>
    <xf numFmtId="177" fontId="32" fillId="4" borderId="15" xfId="0" applyNumberFormat="1" applyFont="1" applyFill="1" applyBorder="1" applyAlignment="1" applyProtection="1">
      <alignment horizontal="right" vertical="center"/>
    </xf>
    <xf numFmtId="0" fontId="29" fillId="4" borderId="16" xfId="0"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23" xfId="0" applyFont="1" applyFill="1" applyBorder="1" applyAlignment="1" applyProtection="1">
      <alignment horizontal="center" vertical="center"/>
    </xf>
    <xf numFmtId="177" fontId="32" fillId="0" borderId="14" xfId="0" applyNumberFormat="1" applyFont="1" applyBorder="1" applyAlignment="1" applyProtection="1">
      <alignment horizontal="right" vertical="center"/>
    </xf>
    <xf numFmtId="177" fontId="32" fillId="0" borderId="15" xfId="0" applyNumberFormat="1" applyFont="1" applyBorder="1" applyAlignment="1" applyProtection="1">
      <alignment horizontal="right" vertical="center"/>
    </xf>
    <xf numFmtId="185" fontId="29" fillId="4" borderId="14" xfId="0" applyNumberFormat="1" applyFont="1" applyFill="1" applyBorder="1" applyAlignment="1" applyProtection="1">
      <alignment horizontal="right" vertical="center"/>
    </xf>
    <xf numFmtId="171" fontId="29" fillId="4" borderId="14" xfId="0" applyNumberFormat="1" applyFont="1" applyFill="1" applyBorder="1" applyAlignment="1" applyProtection="1">
      <alignment horizontal="right" vertical="center"/>
    </xf>
    <xf numFmtId="177" fontId="29" fillId="4" borderId="15" xfId="0" applyNumberFormat="1" applyFont="1" applyFill="1" applyBorder="1" applyAlignment="1">
      <alignment horizontal="right" vertical="center"/>
    </xf>
    <xf numFmtId="185" fontId="29" fillId="3" borderId="14" xfId="0" applyNumberFormat="1" applyFont="1" applyFill="1" applyBorder="1" applyAlignment="1" applyProtection="1">
      <alignment horizontal="right" vertical="center"/>
      <protection locked="0"/>
    </xf>
    <xf numFmtId="175" fontId="29" fillId="0" borderId="15" xfId="0" applyNumberFormat="1" applyFont="1" applyBorder="1" applyAlignment="1">
      <alignment horizontal="right" vertical="center"/>
    </xf>
    <xf numFmtId="166" fontId="29" fillId="5" borderId="22" xfId="0" applyNumberFormat="1" applyFont="1" applyFill="1" applyBorder="1" applyAlignment="1" applyProtection="1">
      <alignment horizontal="right" vertical="center"/>
      <protection locked="0"/>
    </xf>
    <xf numFmtId="0" fontId="42" fillId="0" borderId="0" xfId="0" applyFont="1" applyBorder="1" applyAlignment="1" applyProtection="1">
      <alignment vertical="top"/>
    </xf>
    <xf numFmtId="14" fontId="22" fillId="0" borderId="0" xfId="0" applyNumberFormat="1" applyFont="1" applyAlignment="1" applyProtection="1">
      <alignment horizontal="centerContinuous"/>
    </xf>
    <xf numFmtId="0" fontId="0" fillId="0" borderId="0" xfId="0" applyAlignment="1" applyProtection="1">
      <alignment horizontal="centerContinuous"/>
    </xf>
    <xf numFmtId="0" fontId="50" fillId="0" borderId="0" xfId="0" applyFont="1" applyAlignment="1" applyProtection="1">
      <alignment horizontal="left" vertical="center"/>
    </xf>
    <xf numFmtId="0" fontId="29" fillId="0" borderId="0" xfId="0" applyFont="1" applyBorder="1" applyAlignment="1" applyProtection="1">
      <alignment horizontal="center" vertical="center"/>
    </xf>
    <xf numFmtId="0" fontId="0" fillId="0" borderId="7" xfId="0" applyBorder="1" applyProtection="1"/>
    <xf numFmtId="0" fontId="0" fillId="4" borderId="0" xfId="0" applyFill="1" applyBorder="1" applyProtection="1"/>
    <xf numFmtId="0" fontId="0" fillId="0" borderId="3" xfId="0" applyBorder="1" applyProtection="1"/>
    <xf numFmtId="0" fontId="0" fillId="0" borderId="4" xfId="0" applyBorder="1" applyProtection="1"/>
    <xf numFmtId="0" fontId="29" fillId="0" borderId="61" xfId="0" applyFont="1" applyBorder="1" applyAlignment="1" applyProtection="1">
      <alignment vertical="center"/>
    </xf>
    <xf numFmtId="0" fontId="40" fillId="0" borderId="5" xfId="0" applyFont="1" applyBorder="1" applyAlignment="1" applyProtection="1">
      <alignment horizontal="centerContinuous" wrapText="1"/>
    </xf>
    <xf numFmtId="0" fontId="0" fillId="0" borderId="13" xfId="0" applyBorder="1" applyAlignment="1" applyProtection="1">
      <alignment horizontal="centerContinuous"/>
    </xf>
    <xf numFmtId="0" fontId="0" fillId="0" borderId="3" xfId="0" applyBorder="1" applyAlignment="1" applyProtection="1">
      <alignment horizontal="centerContinuous" vertical="center" wrapText="1"/>
    </xf>
    <xf numFmtId="0" fontId="0" fillId="0" borderId="10" xfId="0" applyBorder="1" applyAlignment="1" applyProtection="1">
      <alignment horizontal="centerContinuous" vertical="center" wrapText="1"/>
    </xf>
    <xf numFmtId="173" fontId="20" fillId="0" borderId="13" xfId="6" applyNumberFormat="1" applyFont="1" applyBorder="1" applyAlignment="1" applyProtection="1">
      <alignment horizontal="centerContinuous" vertical="center"/>
    </xf>
    <xf numFmtId="0" fontId="34" fillId="0" borderId="0" xfId="0" applyFont="1" applyBorder="1" applyAlignment="1" applyProtection="1">
      <alignment horizontal="centerContinuous" vertical="center"/>
    </xf>
    <xf numFmtId="0" fontId="35" fillId="0" borderId="5" xfId="0" applyFont="1" applyBorder="1" applyAlignment="1" applyProtection="1">
      <alignment vertical="center"/>
    </xf>
    <xf numFmtId="0" fontId="22" fillId="0" borderId="6" xfId="0" applyFont="1" applyBorder="1" applyAlignment="1" applyProtection="1">
      <alignment horizontal="left" vertical="center"/>
    </xf>
    <xf numFmtId="173" fontId="20" fillId="0" borderId="6" xfId="6" applyNumberFormat="1" applyFont="1" applyBorder="1" applyAlignment="1" applyProtection="1">
      <alignment horizontal="center" vertical="center"/>
    </xf>
    <xf numFmtId="173" fontId="20" fillId="0" borderId="16" xfId="6" applyNumberFormat="1" applyFont="1" applyBorder="1" applyAlignment="1" applyProtection="1">
      <alignment horizontal="center" vertical="center"/>
    </xf>
    <xf numFmtId="173" fontId="20" fillId="0" borderId="17" xfId="6" applyNumberFormat="1" applyFont="1" applyBorder="1" applyAlignment="1" applyProtection="1">
      <alignment horizontal="center" vertical="center"/>
    </xf>
    <xf numFmtId="0" fontId="22" fillId="0" borderId="46" xfId="0" applyFont="1" applyBorder="1" applyAlignment="1" applyProtection="1">
      <alignment vertical="center"/>
    </xf>
    <xf numFmtId="173" fontId="20" fillId="0" borderId="51" xfId="6" applyNumberFormat="1" applyFont="1" applyBorder="1" applyAlignment="1" applyProtection="1">
      <alignment horizontal="center" vertical="center"/>
    </xf>
    <xf numFmtId="0" fontId="0" fillId="0" borderId="4" xfId="0" applyBorder="1" applyAlignment="1" applyProtection="1">
      <alignment horizontal="centerContinuous" vertical="center" wrapText="1"/>
    </xf>
    <xf numFmtId="0" fontId="34" fillId="0" borderId="7" xfId="0" applyFont="1" applyBorder="1" applyAlignment="1" applyProtection="1">
      <alignment horizontal="centerContinuous" vertical="center"/>
    </xf>
    <xf numFmtId="0" fontId="35" fillId="0" borderId="4" xfId="0" applyFont="1" applyBorder="1" applyAlignment="1" applyProtection="1">
      <alignment vertical="center"/>
    </xf>
    <xf numFmtId="0" fontId="20" fillId="0" borderId="7" xfId="0" applyFont="1" applyBorder="1" applyAlignment="1" applyProtection="1">
      <alignment vertical="center"/>
    </xf>
    <xf numFmtId="0" fontId="22" fillId="0" borderId="7" xfId="0" applyFont="1" applyBorder="1" applyAlignment="1" applyProtection="1">
      <alignment horizontal="left" vertical="center"/>
    </xf>
    <xf numFmtId="0" fontId="22" fillId="0" borderId="21" xfId="0" applyFont="1" applyBorder="1" applyAlignment="1" applyProtection="1">
      <alignment vertical="center"/>
    </xf>
    <xf numFmtId="0" fontId="0" fillId="0" borderId="0" xfId="0" applyBorder="1" applyAlignment="1" applyProtection="1">
      <alignment horizontal="centerContinuous" vertical="center" wrapText="1"/>
    </xf>
    <xf numFmtId="0" fontId="0" fillId="4" borderId="0" xfId="0" applyFill="1" applyAlignment="1" applyProtection="1">
      <alignment horizontal="right"/>
    </xf>
    <xf numFmtId="0" fontId="35" fillId="0" borderId="3" xfId="0" applyFont="1" applyBorder="1" applyAlignment="1" applyProtection="1">
      <alignment vertical="center"/>
    </xf>
    <xf numFmtId="0" fontId="27" fillId="0" borderId="0" xfId="0" applyFont="1" applyBorder="1" applyAlignment="1" applyProtection="1">
      <alignment vertical="center"/>
    </xf>
    <xf numFmtId="0" fontId="20" fillId="0" borderId="0" xfId="0" applyFont="1" applyBorder="1" applyAlignment="1" applyProtection="1">
      <alignment vertical="center"/>
    </xf>
    <xf numFmtId="0" fontId="29" fillId="0" borderId="0" xfId="0" applyFont="1" applyBorder="1" applyAlignment="1" applyProtection="1">
      <alignment horizontal="left" vertical="center"/>
    </xf>
    <xf numFmtId="185" fontId="31" fillId="0" borderId="22" xfId="6" applyNumberFormat="1" applyFont="1" applyBorder="1" applyAlignment="1" applyProtection="1">
      <alignment horizontal="right" vertical="center"/>
    </xf>
    <xf numFmtId="185" fontId="31" fillId="0" borderId="23" xfId="6" applyNumberFormat="1" applyFont="1" applyBorder="1" applyAlignment="1" applyProtection="1">
      <alignment horizontal="right" vertical="center"/>
    </xf>
    <xf numFmtId="185" fontId="31" fillId="0" borderId="42" xfId="6" applyNumberFormat="1" applyFont="1" applyBorder="1" applyAlignment="1" applyProtection="1">
      <alignment horizontal="right" vertical="center"/>
    </xf>
    <xf numFmtId="0" fontId="34" fillId="4" borderId="24" xfId="0" applyFont="1" applyFill="1" applyBorder="1" applyAlignment="1" applyProtection="1">
      <alignment horizontal="centerContinuous" vertical="center"/>
    </xf>
    <xf numFmtId="0" fontId="61" fillId="0" borderId="7" xfId="0" applyFont="1" applyBorder="1" applyAlignment="1" applyProtection="1">
      <alignment vertical="center"/>
    </xf>
    <xf numFmtId="0" fontId="0" fillId="0" borderId="21" xfId="0" applyBorder="1" applyProtection="1"/>
    <xf numFmtId="0" fontId="29" fillId="0" borderId="22" xfId="0" applyFont="1" applyBorder="1" applyAlignment="1" applyProtection="1">
      <alignment vertical="center"/>
    </xf>
    <xf numFmtId="0" fontId="0" fillId="0" borderId="22" xfId="0" applyBorder="1" applyProtection="1"/>
    <xf numFmtId="0" fontId="0" fillId="0" borderId="22" xfId="0" applyBorder="1" applyAlignment="1" applyProtection="1">
      <alignment vertical="center"/>
    </xf>
    <xf numFmtId="0" fontId="29" fillId="0" borderId="22" xfId="0" applyFont="1" applyBorder="1" applyAlignment="1" applyProtection="1">
      <alignment horizontal="left" vertical="center"/>
    </xf>
    <xf numFmtId="0" fontId="22" fillId="0" borderId="4" xfId="0" applyFont="1" applyBorder="1" applyAlignment="1" applyProtection="1">
      <alignment vertical="center"/>
    </xf>
    <xf numFmtId="0" fontId="0" fillId="4" borderId="7" xfId="0" applyFill="1" applyBorder="1" applyAlignment="1" applyProtection="1">
      <alignment horizontal="right"/>
    </xf>
    <xf numFmtId="185" fontId="31" fillId="0" borderId="0" xfId="6" applyNumberFormat="1" applyFont="1" applyBorder="1" applyAlignment="1" applyProtection="1">
      <alignment horizontal="right" vertical="center"/>
    </xf>
    <xf numFmtId="185" fontId="31" fillId="0" borderId="18" xfId="6" applyNumberFormat="1" applyFont="1" applyBorder="1" applyAlignment="1" applyProtection="1">
      <alignment horizontal="right" vertical="center"/>
    </xf>
    <xf numFmtId="185" fontId="31" fillId="0" borderId="19" xfId="6" applyNumberFormat="1" applyFont="1" applyBorder="1" applyAlignment="1" applyProtection="1">
      <alignment horizontal="right" vertical="center"/>
    </xf>
    <xf numFmtId="0" fontId="16" fillId="0" borderId="7" xfId="0" applyFont="1" applyBorder="1" applyProtection="1"/>
    <xf numFmtId="0" fontId="16" fillId="0" borderId="4" xfId="0" applyFont="1" applyBorder="1" applyProtection="1"/>
    <xf numFmtId="185" fontId="31" fillId="0" borderId="18" xfId="6" applyNumberFormat="1" applyFont="1" applyBorder="1" applyAlignment="1" applyProtection="1">
      <alignment vertical="center"/>
    </xf>
    <xf numFmtId="185" fontId="31" fillId="0" borderId="19" xfId="6" applyNumberFormat="1" applyFont="1" applyBorder="1" applyAlignment="1" applyProtection="1">
      <alignment vertical="center"/>
    </xf>
    <xf numFmtId="0" fontId="35" fillId="0" borderId="21" xfId="0" applyFont="1" applyBorder="1" applyAlignment="1" applyProtection="1">
      <alignment vertical="center"/>
    </xf>
    <xf numFmtId="0" fontId="20" fillId="0" borderId="22" xfId="0" applyFont="1" applyBorder="1" applyAlignment="1" applyProtection="1">
      <alignment vertical="center"/>
    </xf>
    <xf numFmtId="185" fontId="33" fillId="0" borderId="23" xfId="6" applyNumberFormat="1" applyFont="1" applyBorder="1" applyAlignment="1" applyProtection="1">
      <alignment horizontal="right" vertical="center"/>
    </xf>
    <xf numFmtId="185" fontId="33" fillId="0" borderId="42" xfId="6" applyNumberFormat="1" applyFont="1" applyBorder="1" applyAlignment="1" applyProtection="1">
      <alignment horizontal="right" vertical="center"/>
    </xf>
    <xf numFmtId="0" fontId="34" fillId="0" borderId="10" xfId="0" applyFont="1" applyBorder="1" applyAlignment="1" applyProtection="1">
      <alignment horizontal="centerContinuous" vertical="center"/>
    </xf>
    <xf numFmtId="0" fontId="29" fillId="0" borderId="0" xfId="0" applyFont="1" applyBorder="1" applyAlignment="1" applyProtection="1">
      <alignment horizontal="right" vertical="center"/>
    </xf>
    <xf numFmtId="0" fontId="31" fillId="0" borderId="0" xfId="0" applyFont="1" applyBorder="1" applyAlignment="1" applyProtection="1">
      <alignment vertical="center"/>
    </xf>
    <xf numFmtId="0" fontId="34" fillId="0" borderId="24" xfId="0" applyFont="1" applyBorder="1" applyAlignment="1" applyProtection="1">
      <alignment horizontal="centerContinuous" vertical="center"/>
    </xf>
    <xf numFmtId="0" fontId="31" fillId="0" borderId="7" xfId="0" applyFont="1" applyBorder="1" applyAlignment="1" applyProtection="1">
      <alignment vertical="center"/>
    </xf>
    <xf numFmtId="0" fontId="35" fillId="0" borderId="7" xfId="0" applyFont="1" applyBorder="1" applyAlignment="1" applyProtection="1">
      <alignment vertical="center"/>
    </xf>
    <xf numFmtId="0" fontId="30" fillId="0" borderId="3" xfId="0" applyFont="1" applyBorder="1" applyAlignment="1" applyProtection="1">
      <alignment vertical="center"/>
    </xf>
    <xf numFmtId="0" fontId="0" fillId="0" borderId="10" xfId="0" applyBorder="1" applyAlignment="1" applyProtection="1">
      <alignment horizontal="right" vertical="center"/>
    </xf>
    <xf numFmtId="0" fontId="27" fillId="0" borderId="3" xfId="0" applyFont="1" applyBorder="1" applyAlignment="1" applyProtection="1">
      <alignment vertical="center"/>
    </xf>
    <xf numFmtId="0" fontId="27" fillId="4" borderId="0" xfId="0" applyFont="1" applyFill="1" applyBorder="1" applyAlignment="1" applyProtection="1">
      <alignment vertical="center"/>
    </xf>
    <xf numFmtId="185" fontId="31" fillId="0" borderId="0" xfId="6" applyNumberFormat="1" applyFont="1" applyBorder="1" applyAlignment="1" applyProtection="1">
      <alignment vertical="center"/>
    </xf>
    <xf numFmtId="0" fontId="29" fillId="0" borderId="3" xfId="0" applyFont="1" applyBorder="1" applyAlignment="1" applyProtection="1">
      <alignment horizontal="right" vertical="center"/>
    </xf>
    <xf numFmtId="0" fontId="29" fillId="0" borderId="4" xfId="0" applyFont="1" applyBorder="1" applyAlignment="1" applyProtection="1">
      <alignment horizontal="right" vertical="center"/>
    </xf>
    <xf numFmtId="0" fontId="0" fillId="0" borderId="3" xfId="0" applyBorder="1" applyAlignment="1" applyProtection="1">
      <alignment vertical="center"/>
    </xf>
    <xf numFmtId="0" fontId="0" fillId="0" borderId="10" xfId="0" applyBorder="1" applyAlignment="1" applyProtection="1">
      <alignment vertical="center"/>
    </xf>
    <xf numFmtId="0" fontId="27" fillId="0" borderId="22" xfId="0" applyFont="1" applyBorder="1" applyAlignment="1" applyProtection="1">
      <alignment vertical="center"/>
    </xf>
    <xf numFmtId="0" fontId="22" fillId="0" borderId="22" xfId="0" applyFont="1" applyBorder="1" applyAlignment="1" applyProtection="1">
      <alignment vertical="center"/>
    </xf>
    <xf numFmtId="0" fontId="29" fillId="0" borderId="22" xfId="0" applyFont="1" applyBorder="1" applyAlignment="1" applyProtection="1">
      <alignment horizontal="right" vertical="center"/>
    </xf>
    <xf numFmtId="185" fontId="31" fillId="0" borderId="22" xfId="6" applyNumberFormat="1" applyFont="1" applyBorder="1" applyAlignment="1" applyProtection="1">
      <alignment vertical="center"/>
    </xf>
    <xf numFmtId="185" fontId="31" fillId="0" borderId="23" xfId="6" applyNumberFormat="1" applyFont="1" applyBorder="1" applyAlignment="1" applyProtection="1">
      <alignment vertical="center"/>
    </xf>
    <xf numFmtId="185" fontId="31" fillId="0" borderId="42" xfId="6" applyNumberFormat="1" applyFont="1" applyBorder="1" applyAlignment="1" applyProtection="1">
      <alignment vertical="center"/>
    </xf>
    <xf numFmtId="0" fontId="33" fillId="0" borderId="7" xfId="0" applyFont="1" applyBorder="1" applyAlignment="1" applyProtection="1">
      <alignment horizontal="right" vertical="center"/>
    </xf>
    <xf numFmtId="185" fontId="31" fillId="0" borderId="7" xfId="6" applyNumberFormat="1" applyFont="1" applyBorder="1" applyAlignment="1" applyProtection="1">
      <alignment vertical="center"/>
    </xf>
    <xf numFmtId="185" fontId="31" fillId="0" borderId="14" xfId="6" applyNumberFormat="1" applyFont="1" applyBorder="1" applyAlignment="1" applyProtection="1">
      <alignment vertical="center"/>
    </xf>
    <xf numFmtId="185" fontId="31" fillId="0" borderId="15" xfId="6" applyNumberFormat="1" applyFont="1" applyBorder="1" applyAlignment="1" applyProtection="1">
      <alignment vertical="center"/>
    </xf>
    <xf numFmtId="0" fontId="15" fillId="0" borderId="3" xfId="0" applyFont="1" applyBorder="1" applyAlignment="1" applyProtection="1">
      <alignment vertical="center"/>
    </xf>
    <xf numFmtId="0" fontId="15" fillId="0" borderId="10" xfId="0" applyFont="1" applyBorder="1" applyAlignment="1" applyProtection="1">
      <alignment vertical="center"/>
    </xf>
    <xf numFmtId="0" fontId="29" fillId="0" borderId="22" xfId="0" applyFont="1" applyBorder="1" applyAlignment="1" applyProtection="1">
      <alignment horizontal="center" vertical="center"/>
    </xf>
    <xf numFmtId="0" fontId="29" fillId="0" borderId="48" xfId="8" applyFont="1" applyBorder="1" applyAlignment="1" applyProtection="1">
      <alignment horizontal="center" vertical="center"/>
    </xf>
    <xf numFmtId="0" fontId="29" fillId="0" borderId="23" xfId="8" applyFont="1" applyBorder="1" applyAlignment="1" applyProtection="1">
      <alignment horizontal="right" vertical="center"/>
    </xf>
    <xf numFmtId="0" fontId="29" fillId="0" borderId="23" xfId="8" applyFont="1" applyBorder="1" applyAlignment="1" applyProtection="1">
      <alignment horizontal="left" vertical="center"/>
    </xf>
    <xf numFmtId="0" fontId="0" fillId="0" borderId="23" xfId="0" applyBorder="1" applyProtection="1"/>
    <xf numFmtId="173" fontId="29" fillId="2" borderId="42" xfId="0" applyNumberFormat="1" applyFont="1" applyFill="1" applyBorder="1" applyAlignment="1" applyProtection="1">
      <alignment horizontal="center" vertical="center"/>
    </xf>
    <xf numFmtId="173" fontId="29" fillId="0" borderId="0" xfId="0" applyNumberFormat="1" applyFont="1" applyBorder="1" applyAlignment="1" applyProtection="1">
      <alignment horizontal="center" vertical="center"/>
    </xf>
    <xf numFmtId="173" fontId="29" fillId="0" borderId="18" xfId="0" applyNumberFormat="1" applyFont="1" applyBorder="1" applyAlignment="1" applyProtection="1">
      <alignment horizontal="center" vertical="center"/>
    </xf>
    <xf numFmtId="173" fontId="29" fillId="0" borderId="19" xfId="0" applyNumberFormat="1" applyFont="1" applyBorder="1" applyAlignment="1" applyProtection="1">
      <alignment horizontal="center" vertical="center"/>
    </xf>
    <xf numFmtId="0" fontId="29" fillId="4" borderId="3" xfId="0" applyFont="1" applyFill="1" applyBorder="1" applyAlignment="1" applyProtection="1">
      <alignment vertical="center"/>
    </xf>
    <xf numFmtId="0" fontId="0" fillId="0" borderId="18" xfId="0" applyBorder="1" applyProtection="1"/>
    <xf numFmtId="170" fontId="29" fillId="0" borderId="0" xfId="0" applyNumberFormat="1" applyFont="1" applyBorder="1" applyAlignment="1" applyProtection="1">
      <alignment horizontal="right" vertical="center"/>
    </xf>
    <xf numFmtId="170" fontId="29" fillId="0" borderId="18" xfId="0" applyNumberFormat="1" applyFont="1" applyBorder="1" applyAlignment="1" applyProtection="1">
      <alignment horizontal="right" vertical="center"/>
    </xf>
    <xf numFmtId="170" fontId="29" fillId="0" borderId="19" xfId="0" applyNumberFormat="1" applyFont="1" applyBorder="1" applyAlignment="1" applyProtection="1">
      <alignment horizontal="right" vertical="center"/>
    </xf>
    <xf numFmtId="0" fontId="29" fillId="4" borderId="10" xfId="0" applyFont="1" applyFill="1" applyBorder="1" applyAlignment="1" applyProtection="1">
      <alignment horizontal="right" vertical="center"/>
    </xf>
    <xf numFmtId="0" fontId="29" fillId="4" borderId="10" xfId="0" applyFont="1" applyFill="1" applyBorder="1" applyAlignment="1" applyProtection="1">
      <alignment vertical="center"/>
    </xf>
    <xf numFmtId="0" fontId="29" fillId="4" borderId="24" xfId="0" applyFont="1" applyFill="1" applyBorder="1" applyAlignment="1" applyProtection="1">
      <alignment vertical="center"/>
    </xf>
    <xf numFmtId="0" fontId="0" fillId="0" borderId="14" xfId="0" applyBorder="1" applyProtection="1"/>
    <xf numFmtId="170" fontId="29" fillId="0" borderId="7" xfId="0" applyNumberFormat="1" applyFont="1" applyBorder="1" applyAlignment="1" applyProtection="1">
      <alignment horizontal="right" vertical="center"/>
    </xf>
    <xf numFmtId="170" fontId="29" fillId="0" borderId="14" xfId="0" applyNumberFormat="1" applyFont="1" applyBorder="1" applyAlignment="1" applyProtection="1">
      <alignment horizontal="right" vertical="center"/>
    </xf>
    <xf numFmtId="170" fontId="29" fillId="0" borderId="15" xfId="0" applyNumberFormat="1" applyFont="1" applyBorder="1" applyAlignment="1" applyProtection="1">
      <alignment horizontal="right" vertical="center"/>
    </xf>
    <xf numFmtId="0" fontId="29" fillId="0" borderId="2" xfId="8" applyFont="1" applyBorder="1" applyAlignment="1" applyProtection="1">
      <alignment horizontal="center" vertical="center"/>
    </xf>
    <xf numFmtId="0" fontId="29" fillId="0" borderId="44" xfId="8" applyFont="1" applyBorder="1" applyAlignment="1" applyProtection="1">
      <alignment horizontal="left" vertical="center"/>
    </xf>
    <xf numFmtId="173" fontId="29" fillId="0" borderId="28" xfId="0" applyNumberFormat="1" applyFont="1" applyBorder="1" applyAlignment="1" applyProtection="1">
      <alignment horizontal="center" vertical="center"/>
    </xf>
    <xf numFmtId="173" fontId="29" fillId="0" borderId="38" xfId="0" applyNumberFormat="1" applyFont="1" applyBorder="1" applyAlignment="1" applyProtection="1">
      <alignment horizontal="center" vertical="center"/>
    </xf>
    <xf numFmtId="173" fontId="29" fillId="0" borderId="39" xfId="0" applyNumberFormat="1" applyFont="1" applyBorder="1" applyAlignment="1" applyProtection="1">
      <alignment horizontal="center" vertical="center"/>
    </xf>
    <xf numFmtId="0" fontId="33" fillId="0" borderId="7" xfId="0" applyFont="1" applyBorder="1" applyAlignment="1" applyProtection="1">
      <alignment vertical="center"/>
    </xf>
    <xf numFmtId="0" fontId="40" fillId="0" borderId="10" xfId="0" applyFont="1" applyBorder="1" applyAlignment="1" applyProtection="1">
      <alignment horizontal="right" vertical="center"/>
    </xf>
    <xf numFmtId="185" fontId="31" fillId="0" borderId="0" xfId="6" applyNumberFormat="1" applyFont="1" applyBorder="1" applyAlignment="1" applyProtection="1">
      <alignment horizontal="center" vertical="center"/>
    </xf>
    <xf numFmtId="0" fontId="29" fillId="0" borderId="44" xfId="0" applyFont="1" applyBorder="1" applyAlignment="1" applyProtection="1">
      <alignment horizontal="centerContinuous" vertical="center"/>
    </xf>
    <xf numFmtId="0" fontId="29" fillId="0" borderId="54" xfId="0" applyFont="1" applyBorder="1" applyAlignment="1" applyProtection="1">
      <alignment horizontal="centerContinuous" vertical="center"/>
    </xf>
    <xf numFmtId="0" fontId="29" fillId="4" borderId="39" xfId="0" applyFont="1" applyFill="1" applyBorder="1" applyAlignment="1" applyProtection="1">
      <alignment horizontal="center" vertical="center"/>
    </xf>
    <xf numFmtId="0" fontId="29" fillId="0" borderId="27" xfId="0" applyFont="1" applyBorder="1" applyAlignment="1" applyProtection="1">
      <alignment horizontal="centerContinuous" vertical="center"/>
    </xf>
    <xf numFmtId="0" fontId="29" fillId="0" borderId="28" xfId="0" applyFont="1" applyBorder="1" applyAlignment="1" applyProtection="1">
      <alignment horizontal="centerContinuous" vertical="center"/>
    </xf>
    <xf numFmtId="0" fontId="29" fillId="0" borderId="34" xfId="0" applyFont="1" applyBorder="1" applyAlignment="1" applyProtection="1">
      <alignment horizontal="centerContinuous" vertical="center"/>
    </xf>
    <xf numFmtId="179" fontId="29" fillId="4" borderId="42" xfId="0" applyNumberFormat="1" applyFont="1" applyFill="1" applyBorder="1" applyAlignment="1" applyProtection="1">
      <alignment horizontal="center" vertical="center"/>
    </xf>
    <xf numFmtId="179" fontId="29" fillId="0" borderId="21" xfId="0" applyNumberFormat="1" applyFont="1" applyBorder="1" applyAlignment="1" applyProtection="1">
      <alignment horizontal="centerContinuous" vertical="center"/>
    </xf>
    <xf numFmtId="179" fontId="29" fillId="0" borderId="22" xfId="0" applyNumberFormat="1" applyFont="1" applyBorder="1" applyAlignment="1" applyProtection="1">
      <alignment horizontal="centerContinuous" vertical="center"/>
    </xf>
    <xf numFmtId="179" fontId="29" fillId="0" borderId="35" xfId="0" applyNumberFormat="1" applyFont="1" applyBorder="1" applyAlignment="1" applyProtection="1">
      <alignment horizontal="centerContinuous" vertical="center"/>
    </xf>
    <xf numFmtId="0" fontId="32" fillId="0" borderId="3" xfId="0" applyFont="1" applyBorder="1" applyAlignment="1" applyProtection="1">
      <alignment vertical="center"/>
    </xf>
    <xf numFmtId="0" fontId="32" fillId="0" borderId="10" xfId="0" applyFont="1" applyBorder="1" applyAlignment="1" applyProtection="1">
      <alignment vertical="center"/>
    </xf>
    <xf numFmtId="182" fontId="33" fillId="0" borderId="0" xfId="6" applyNumberFormat="1" applyFont="1" applyBorder="1" applyAlignment="1" applyProtection="1">
      <alignment vertical="center"/>
    </xf>
    <xf numFmtId="182" fontId="33" fillId="0" borderId="18" xfId="6" applyNumberFormat="1" applyFont="1" applyBorder="1" applyAlignment="1" applyProtection="1">
      <alignment vertical="center"/>
    </xf>
    <xf numFmtId="182" fontId="33" fillId="0" borderId="19" xfId="6" applyNumberFormat="1" applyFont="1" applyBorder="1" applyAlignment="1" applyProtection="1">
      <alignment vertical="center"/>
    </xf>
    <xf numFmtId="0" fontId="32" fillId="0" borderId="4" xfId="0" applyFont="1" applyBorder="1" applyAlignment="1" applyProtection="1">
      <alignment vertical="center"/>
    </xf>
    <xf numFmtId="0" fontId="32" fillId="0" borderId="24" xfId="0" applyFont="1" applyBorder="1" applyAlignment="1" applyProtection="1">
      <alignment vertical="center"/>
    </xf>
    <xf numFmtId="0" fontId="29" fillId="0" borderId="7" xfId="0" applyFont="1" applyBorder="1" applyAlignment="1" applyProtection="1">
      <alignment horizontal="right" vertical="center"/>
    </xf>
    <xf numFmtId="0" fontId="0" fillId="0" borderId="24" xfId="0" applyBorder="1" applyProtection="1"/>
    <xf numFmtId="181" fontId="31" fillId="0" borderId="7" xfId="6" applyNumberFormat="1" applyFont="1" applyBorder="1" applyAlignment="1" applyProtection="1">
      <alignment vertical="center"/>
    </xf>
    <xf numFmtId="181" fontId="31" fillId="0" borderId="14" xfId="6" applyNumberFormat="1" applyFont="1" applyBorder="1" applyAlignment="1" applyProtection="1">
      <alignment vertical="center"/>
    </xf>
    <xf numFmtId="181" fontId="31" fillId="0" borderId="15" xfId="6" applyNumberFormat="1" applyFont="1" applyBorder="1" applyAlignment="1" applyProtection="1">
      <alignment vertical="center"/>
    </xf>
    <xf numFmtId="0" fontId="29" fillId="0" borderId="10" xfId="0" applyFont="1" applyBorder="1" applyAlignment="1" applyProtection="1">
      <alignment vertical="center"/>
    </xf>
    <xf numFmtId="0" fontId="29" fillId="0" borderId="25" xfId="0" applyFont="1" applyBorder="1" applyAlignment="1" applyProtection="1">
      <alignment horizontal="centerContinuous" vertical="center"/>
    </xf>
    <xf numFmtId="0" fontId="29" fillId="0" borderId="26" xfId="0" applyFont="1" applyBorder="1" applyAlignment="1" applyProtection="1">
      <alignment horizontal="centerContinuous" vertical="center"/>
    </xf>
    <xf numFmtId="0" fontId="29" fillId="0" borderId="36" xfId="0" applyFont="1" applyBorder="1" applyAlignment="1" applyProtection="1">
      <alignment horizontal="centerContinuous" vertical="center"/>
    </xf>
    <xf numFmtId="0" fontId="0" fillId="4" borderId="0" xfId="0" applyFill="1" applyAlignment="1" applyProtection="1">
      <alignment vertical="center"/>
    </xf>
    <xf numFmtId="0" fontId="15" fillId="0" borderId="4" xfId="0" applyFont="1" applyBorder="1" applyAlignment="1" applyProtection="1">
      <alignment vertical="center"/>
    </xf>
    <xf numFmtId="0" fontId="15" fillId="0" borderId="24" xfId="0" applyFont="1" applyBorder="1" applyAlignment="1" applyProtection="1">
      <alignment vertical="center"/>
    </xf>
    <xf numFmtId="0" fontId="29" fillId="0" borderId="7" xfId="0" applyFont="1" applyBorder="1" applyAlignment="1" applyProtection="1">
      <alignment horizontal="center" vertical="center"/>
    </xf>
    <xf numFmtId="0" fontId="22" fillId="0" borderId="0" xfId="0" applyFont="1" applyBorder="1" applyAlignment="1" applyProtection="1">
      <alignment vertical="center"/>
    </xf>
    <xf numFmtId="0" fontId="29" fillId="0" borderId="30" xfId="0" applyFont="1" applyBorder="1" applyAlignment="1" applyProtection="1">
      <alignment horizontal="right" vertical="center"/>
    </xf>
    <xf numFmtId="0" fontId="0" fillId="4" borderId="0" xfId="0" applyFill="1" applyBorder="1" applyAlignment="1" applyProtection="1">
      <alignment horizontal="centerContinuous" vertical="center" wrapText="1"/>
    </xf>
    <xf numFmtId="0" fontId="0" fillId="4" borderId="7" xfId="0" applyFill="1" applyBorder="1" applyProtection="1"/>
    <xf numFmtId="0" fontId="19" fillId="4" borderId="0" xfId="8" applyFont="1" applyFill="1" applyBorder="1" applyAlignment="1" applyProtection="1">
      <alignment vertical="center"/>
    </xf>
    <xf numFmtId="185" fontId="20" fillId="4" borderId="8" xfId="0" applyNumberFormat="1" applyFont="1" applyFill="1" applyBorder="1" applyAlignment="1">
      <alignment horizontal="right" vertical="center"/>
    </xf>
    <xf numFmtId="0" fontId="43" fillId="4" borderId="0" xfId="0" applyFont="1" applyFill="1" applyAlignment="1">
      <alignment vertical="center"/>
    </xf>
    <xf numFmtId="170" fontId="53" fillId="4" borderId="57" xfId="0" applyNumberFormat="1" applyFont="1" applyFill="1" applyBorder="1" applyAlignment="1" applyProtection="1">
      <alignment horizontal="right" vertical="center"/>
    </xf>
    <xf numFmtId="0" fontId="0" fillId="0" borderId="0" xfId="0" applyAlignment="1">
      <alignment horizontal="right"/>
    </xf>
    <xf numFmtId="0" fontId="20" fillId="6" borderId="64" xfId="0" applyFont="1" applyFill="1" applyBorder="1" applyAlignment="1">
      <alignment horizontal="center"/>
    </xf>
    <xf numFmtId="1" fontId="19" fillId="0" borderId="10" xfId="0" applyNumberFormat="1" applyFont="1" applyBorder="1" applyAlignment="1">
      <alignment horizontal="center" vertical="center"/>
    </xf>
    <xf numFmtId="1" fontId="19" fillId="0" borderId="67" xfId="0" applyNumberFormat="1" applyFont="1" applyBorder="1" applyAlignment="1">
      <alignment horizontal="center" vertical="center"/>
    </xf>
    <xf numFmtId="1" fontId="19" fillId="0" borderId="0" xfId="0" applyNumberFormat="1" applyFont="1" applyBorder="1" applyAlignment="1">
      <alignment horizontal="center" vertical="center"/>
    </xf>
    <xf numFmtId="1" fontId="19" fillId="0" borderId="68" xfId="0" applyNumberFormat="1" applyFont="1" applyBorder="1" applyAlignment="1">
      <alignment horizontal="center" vertical="center"/>
    </xf>
    <xf numFmtId="1" fontId="19" fillId="0" borderId="8" xfId="0" applyNumberFormat="1" applyFont="1" applyBorder="1" applyAlignment="1">
      <alignment horizontal="center" vertical="center"/>
    </xf>
    <xf numFmtId="1" fontId="19" fillId="0" borderId="13" xfId="0" applyNumberFormat="1" applyFont="1" applyBorder="1" applyAlignment="1">
      <alignment horizontal="center" vertical="center"/>
    </xf>
    <xf numFmtId="1" fontId="19" fillId="0" borderId="9" xfId="0" applyNumberFormat="1" applyFont="1" applyBorder="1" applyAlignment="1">
      <alignment horizontal="center" vertical="center"/>
    </xf>
    <xf numFmtId="1" fontId="50" fillId="0" borderId="10" xfId="0" applyNumberFormat="1" applyFont="1" applyBorder="1" applyAlignment="1">
      <alignment horizontal="center" vertical="center"/>
    </xf>
    <xf numFmtId="1" fontId="50" fillId="0" borderId="67" xfId="0" applyNumberFormat="1" applyFont="1" applyBorder="1" applyAlignment="1">
      <alignment horizontal="center" vertical="center"/>
    </xf>
    <xf numFmtId="1" fontId="50" fillId="0" borderId="0" xfId="0" applyNumberFormat="1" applyFont="1" applyBorder="1" applyAlignment="1">
      <alignment horizontal="center" vertical="center"/>
    </xf>
    <xf numFmtId="1" fontId="50" fillId="0" borderId="68" xfId="0" applyNumberFormat="1" applyFont="1" applyBorder="1" applyAlignment="1">
      <alignment horizontal="center" vertical="center"/>
    </xf>
    <xf numFmtId="1" fontId="50" fillId="0" borderId="8"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67" xfId="0" applyNumberFormat="1" applyFont="1" applyBorder="1" applyAlignment="1">
      <alignment horizontal="center" vertical="center"/>
    </xf>
    <xf numFmtId="3" fontId="19" fillId="0" borderId="0" xfId="0" applyNumberFormat="1" applyFont="1" applyBorder="1" applyAlignment="1">
      <alignment horizontal="center" vertical="center"/>
    </xf>
    <xf numFmtId="3" fontId="19" fillId="0" borderId="68" xfId="0" applyNumberFormat="1" applyFont="1" applyBorder="1" applyAlignment="1">
      <alignment horizontal="center" vertical="center"/>
    </xf>
    <xf numFmtId="3" fontId="19" fillId="0" borderId="8" xfId="0" applyNumberFormat="1" applyFont="1" applyBorder="1" applyAlignment="1">
      <alignment horizontal="center" vertical="center"/>
    </xf>
    <xf numFmtId="1" fontId="19" fillId="0" borderId="69" xfId="0" applyNumberFormat="1" applyFont="1" applyBorder="1" applyAlignment="1">
      <alignment horizontal="center" vertical="center"/>
    </xf>
    <xf numFmtId="1" fontId="19" fillId="0" borderId="24" xfId="0" applyNumberFormat="1" applyFont="1" applyBorder="1" applyAlignment="1">
      <alignment horizontal="center" vertical="center"/>
    </xf>
    <xf numFmtId="1" fontId="19" fillId="0" borderId="70" xfId="0" applyNumberFormat="1" applyFont="1" applyBorder="1" applyAlignment="1">
      <alignment horizontal="center" vertical="center"/>
    </xf>
    <xf numFmtId="3" fontId="19" fillId="0" borderId="24" xfId="0" applyNumberFormat="1" applyFont="1" applyBorder="1" applyAlignment="1">
      <alignment horizontal="center" vertical="center"/>
    </xf>
    <xf numFmtId="3" fontId="19" fillId="0" borderId="71" xfId="0" applyNumberFormat="1" applyFont="1" applyBorder="1" applyAlignment="1">
      <alignment horizontal="center" vertical="center"/>
    </xf>
    <xf numFmtId="3" fontId="19" fillId="0" borderId="7" xfId="0" applyNumberFormat="1" applyFont="1" applyBorder="1" applyAlignment="1">
      <alignment horizontal="center" vertical="center"/>
    </xf>
    <xf numFmtId="3" fontId="19" fillId="0" borderId="69" xfId="0" applyNumberFormat="1" applyFont="1" applyBorder="1" applyAlignment="1">
      <alignment horizontal="center" vertical="center"/>
    </xf>
    <xf numFmtId="3" fontId="19" fillId="0" borderId="53" xfId="0" applyNumberFormat="1" applyFont="1" applyBorder="1" applyAlignment="1">
      <alignment horizontal="center" vertical="center"/>
    </xf>
    <xf numFmtId="1" fontId="19" fillId="0" borderId="73" xfId="0" applyNumberFormat="1" applyFont="1" applyBorder="1" applyAlignment="1">
      <alignment horizontal="center" vertical="center"/>
    </xf>
    <xf numFmtId="1" fontId="19" fillId="0" borderId="74" xfId="0" applyNumberFormat="1" applyFont="1" applyBorder="1" applyAlignment="1">
      <alignment horizontal="center" vertical="center"/>
    </xf>
    <xf numFmtId="1" fontId="19" fillId="0" borderId="52" xfId="0" applyNumberFormat="1" applyFont="1" applyBorder="1" applyAlignment="1">
      <alignment horizontal="center" vertical="center"/>
    </xf>
    <xf numFmtId="2" fontId="19" fillId="0" borderId="10" xfId="0" applyNumberFormat="1" applyFont="1" applyBorder="1" applyAlignment="1">
      <alignment horizontal="center" vertical="center"/>
    </xf>
    <xf numFmtId="2" fontId="19" fillId="0" borderId="67" xfId="0" applyNumberFormat="1" applyFont="1" applyBorder="1" applyAlignment="1">
      <alignment horizontal="center" vertical="center"/>
    </xf>
    <xf numFmtId="2" fontId="19" fillId="0" borderId="0" xfId="0" applyNumberFormat="1" applyFont="1" applyBorder="1" applyAlignment="1">
      <alignment horizontal="center" vertical="center"/>
    </xf>
    <xf numFmtId="2" fontId="19" fillId="0" borderId="68" xfId="0" applyNumberFormat="1" applyFont="1" applyBorder="1" applyAlignment="1">
      <alignment horizontal="center" vertical="center"/>
    </xf>
    <xf numFmtId="2" fontId="19" fillId="0" borderId="8" xfId="0" applyNumberFormat="1" applyFont="1" applyBorder="1" applyAlignment="1">
      <alignment horizontal="center" vertical="center"/>
    </xf>
    <xf numFmtId="2" fontId="19" fillId="0" borderId="24" xfId="0" applyNumberFormat="1" applyFont="1" applyBorder="1" applyAlignment="1">
      <alignment horizontal="center" vertical="center"/>
    </xf>
    <xf numFmtId="2" fontId="19" fillId="0" borderId="71" xfId="0" applyNumberFormat="1" applyFont="1" applyBorder="1" applyAlignment="1">
      <alignment horizontal="center" vertical="center"/>
    </xf>
    <xf numFmtId="2" fontId="19" fillId="0" borderId="7" xfId="0" applyNumberFormat="1" applyFont="1" applyBorder="1" applyAlignment="1">
      <alignment horizontal="center" vertical="center"/>
    </xf>
    <xf numFmtId="2" fontId="19" fillId="0" borderId="69" xfId="0" applyNumberFormat="1" applyFont="1" applyBorder="1" applyAlignment="1">
      <alignment horizontal="center" vertical="center"/>
    </xf>
    <xf numFmtId="2" fontId="19" fillId="0" borderId="53" xfId="0" applyNumberFormat="1" applyFont="1" applyBorder="1" applyAlignment="1">
      <alignment horizontal="center" vertical="center"/>
    </xf>
    <xf numFmtId="0" fontId="0" fillId="0" borderId="0" xfId="0" applyAlignment="1" applyProtection="1">
      <alignment horizontal="center"/>
    </xf>
    <xf numFmtId="0" fontId="20" fillId="0" borderId="5" xfId="0" applyFont="1" applyBorder="1" applyAlignment="1" applyProtection="1">
      <alignment vertical="center"/>
    </xf>
    <xf numFmtId="0" fontId="22" fillId="0" borderId="6" xfId="0" applyFont="1" applyBorder="1" applyAlignment="1" applyProtection="1">
      <alignment horizontal="center" vertical="center"/>
    </xf>
    <xf numFmtId="0" fontId="20" fillId="0" borderId="3" xfId="0" applyFont="1" applyBorder="1" applyAlignment="1" applyProtection="1">
      <alignment vertical="center"/>
    </xf>
    <xf numFmtId="0" fontId="22" fillId="0" borderId="7" xfId="0" applyFont="1" applyBorder="1" applyAlignment="1" applyProtection="1">
      <alignment vertical="center"/>
    </xf>
    <xf numFmtId="0" fontId="27" fillId="0" borderId="7" xfId="0" applyFont="1" applyBorder="1" applyAlignment="1" applyProtection="1">
      <alignment vertical="center"/>
    </xf>
    <xf numFmtId="0" fontId="20" fillId="0" borderId="5" xfId="0" applyFont="1" applyBorder="1" applyAlignment="1">
      <alignment vertical="center"/>
    </xf>
    <xf numFmtId="0" fontId="20" fillId="0" borderId="3" xfId="0" applyFont="1" applyBorder="1" applyAlignment="1">
      <alignment vertical="center"/>
    </xf>
    <xf numFmtId="0" fontId="20" fillId="0" borderId="4" xfId="0" applyFont="1" applyBorder="1" applyAlignment="1">
      <alignment vertical="center"/>
    </xf>
    <xf numFmtId="0" fontId="30" fillId="0" borderId="6" xfId="0" applyFont="1" applyBorder="1" applyAlignment="1">
      <alignment vertical="center"/>
    </xf>
    <xf numFmtId="0" fontId="38" fillId="0" borderId="0" xfId="0" applyFont="1" applyBorder="1" applyAlignment="1">
      <alignment vertical="center"/>
    </xf>
    <xf numFmtId="0" fontId="38" fillId="0" borderId="0" xfId="0" applyFont="1" applyBorder="1" applyAlignment="1" applyProtection="1">
      <alignment vertical="center"/>
    </xf>
    <xf numFmtId="0" fontId="40" fillId="0" borderId="0" xfId="0" applyFont="1" applyFill="1" applyBorder="1" applyAlignment="1" applyProtection="1">
      <alignment horizontal="center" vertical="center"/>
    </xf>
    <xf numFmtId="0" fontId="29" fillId="0" borderId="0" xfId="0" applyFont="1" applyAlignment="1" applyProtection="1">
      <alignment horizontal="center" vertical="center"/>
    </xf>
    <xf numFmtId="0" fontId="16" fillId="0" borderId="0" xfId="0" applyFont="1" applyBorder="1" applyAlignment="1" applyProtection="1">
      <alignment horizontal="center" vertical="top"/>
    </xf>
    <xf numFmtId="0" fontId="0" fillId="0" borderId="7" xfId="0" applyBorder="1" applyAlignment="1" applyProtection="1">
      <alignment horizontal="center" vertical="center"/>
    </xf>
    <xf numFmtId="190" fontId="29" fillId="4" borderId="18" xfId="0" applyNumberFormat="1" applyFont="1" applyFill="1" applyBorder="1" applyAlignment="1" applyProtection="1">
      <alignment horizontal="center" vertical="center"/>
    </xf>
    <xf numFmtId="190" fontId="29" fillId="4" borderId="14" xfId="0" applyNumberFormat="1" applyFont="1" applyFill="1" applyBorder="1" applyAlignment="1" applyProtection="1">
      <alignment horizontal="center" vertical="center"/>
    </xf>
    <xf numFmtId="0" fontId="16" fillId="0" borderId="0" xfId="0" applyFont="1" applyBorder="1" applyAlignment="1" applyProtection="1">
      <alignment horizontal="center" vertical="center"/>
    </xf>
    <xf numFmtId="170" fontId="29" fillId="3" borderId="18" xfId="0" applyNumberFormat="1" applyFont="1" applyFill="1" applyBorder="1" applyAlignment="1" applyProtection="1">
      <alignment horizontal="center" vertical="center"/>
      <protection locked="0"/>
    </xf>
    <xf numFmtId="170" fontId="29" fillId="3" borderId="14" xfId="0" applyNumberFormat="1" applyFont="1" applyFill="1" applyBorder="1" applyAlignment="1" applyProtection="1">
      <alignment horizontal="center" vertical="center"/>
      <protection locked="0"/>
    </xf>
    <xf numFmtId="0" fontId="35" fillId="0" borderId="6" xfId="0" applyFont="1" applyBorder="1" applyAlignment="1">
      <alignment vertical="center"/>
    </xf>
    <xf numFmtId="0" fontId="36" fillId="0" borderId="0" xfId="0" applyFont="1" applyAlignment="1">
      <alignment vertical="center"/>
    </xf>
    <xf numFmtId="0" fontId="35" fillId="0" borderId="0" xfId="0" applyFont="1" applyAlignment="1">
      <alignment vertical="center"/>
    </xf>
    <xf numFmtId="0" fontId="0" fillId="4" borderId="0" xfId="0" applyFill="1" applyAlignment="1">
      <alignment horizontal="center" vertical="center"/>
    </xf>
    <xf numFmtId="0" fontId="22" fillId="0" borderId="0" xfId="0" applyFont="1" applyBorder="1"/>
    <xf numFmtId="0" fontId="50" fillId="0" borderId="0" xfId="0" applyFont="1" applyAlignment="1">
      <alignment vertical="center"/>
    </xf>
    <xf numFmtId="176" fontId="22" fillId="3" borderId="5" xfId="0" applyNumberFormat="1" applyFont="1" applyFill="1" applyBorder="1" applyAlignment="1" applyProtection="1">
      <alignment vertical="center"/>
      <protection locked="0"/>
    </xf>
    <xf numFmtId="176" fontId="22" fillId="3" borderId="3" xfId="0" applyNumberFormat="1" applyFont="1" applyFill="1" applyBorder="1" applyAlignment="1" applyProtection="1">
      <alignment vertical="center"/>
      <protection locked="0"/>
    </xf>
    <xf numFmtId="176" fontId="22" fillId="3" borderId="75" xfId="0" applyNumberFormat="1" applyFont="1" applyFill="1" applyBorder="1" applyAlignment="1" applyProtection="1">
      <alignment vertical="center"/>
      <protection locked="0"/>
    </xf>
    <xf numFmtId="176" fontId="22" fillId="3" borderId="12" xfId="0" applyNumberFormat="1" applyFont="1" applyFill="1" applyBorder="1" applyAlignment="1" applyProtection="1">
      <alignment vertical="center"/>
      <protection locked="0"/>
    </xf>
    <xf numFmtId="176" fontId="22" fillId="3" borderId="76" xfId="0" applyNumberFormat="1" applyFont="1" applyFill="1" applyBorder="1" applyAlignment="1" applyProtection="1">
      <alignment vertical="center"/>
      <protection locked="0"/>
    </xf>
    <xf numFmtId="176" fontId="22" fillId="3" borderId="32" xfId="0" applyNumberFormat="1" applyFont="1" applyFill="1" applyBorder="1" applyAlignment="1" applyProtection="1">
      <alignment vertical="center"/>
      <protection locked="0"/>
    </xf>
    <xf numFmtId="176" fontId="22" fillId="3" borderId="33" xfId="0" applyNumberFormat="1" applyFont="1" applyFill="1" applyBorder="1" applyAlignment="1" applyProtection="1">
      <alignment vertical="center"/>
      <protection locked="0"/>
    </xf>
    <xf numFmtId="0" fontId="38" fillId="0" borderId="45" xfId="0" applyFont="1" applyBorder="1" applyAlignment="1" applyProtection="1">
      <alignment vertical="center"/>
    </xf>
    <xf numFmtId="0" fontId="22" fillId="0" borderId="62" xfId="0" applyFont="1" applyBorder="1" applyAlignment="1">
      <alignment vertical="center"/>
    </xf>
    <xf numFmtId="0" fontId="22" fillId="4" borderId="0" xfId="0" applyFont="1" applyFill="1"/>
    <xf numFmtId="0" fontId="20" fillId="4" borderId="0" xfId="0" applyFont="1" applyFill="1" applyAlignment="1">
      <alignment vertical="center"/>
    </xf>
    <xf numFmtId="0" fontId="22" fillId="4" borderId="0" xfId="0" applyFont="1" applyFill="1" applyBorder="1" applyAlignment="1">
      <alignment horizontal="left" vertical="center"/>
    </xf>
    <xf numFmtId="0" fontId="22" fillId="4" borderId="0" xfId="0" applyFont="1" applyFill="1" applyAlignment="1">
      <alignment vertical="center"/>
    </xf>
    <xf numFmtId="0" fontId="31" fillId="0" borderId="18" xfId="0" applyFont="1" applyFill="1" applyBorder="1" applyAlignment="1" applyProtection="1">
      <alignment horizontal="center" vertical="center"/>
    </xf>
    <xf numFmtId="0" fontId="29" fillId="4" borderId="76" xfId="0" applyFont="1" applyFill="1" applyBorder="1" applyAlignment="1" applyProtection="1">
      <alignment horizontal="center" vertical="center"/>
    </xf>
    <xf numFmtId="0" fontId="29" fillId="2" borderId="58" xfId="0" applyFont="1" applyFill="1" applyBorder="1" applyAlignment="1" applyProtection="1">
      <alignment horizontal="center" vertical="center"/>
    </xf>
    <xf numFmtId="0" fontId="29" fillId="2" borderId="6" xfId="8" applyFont="1" applyFill="1" applyBorder="1" applyAlignment="1" applyProtection="1">
      <alignment horizontal="centerContinuous" vertical="center"/>
    </xf>
    <xf numFmtId="170" fontId="31" fillId="2" borderId="13" xfId="6" applyNumberFormat="1" applyFont="1" applyFill="1" applyBorder="1" applyAlignment="1" applyProtection="1">
      <alignment horizontal="centerContinuous" vertical="center"/>
    </xf>
    <xf numFmtId="0" fontId="29" fillId="4" borderId="58" xfId="0" applyFont="1" applyFill="1" applyBorder="1" applyAlignment="1" applyProtection="1">
      <alignment horizontal="center" vertical="center"/>
    </xf>
    <xf numFmtId="0" fontId="29" fillId="4" borderId="43" xfId="8" applyFont="1" applyFill="1" applyBorder="1" applyAlignment="1" applyProtection="1">
      <alignment horizontal="center" vertical="center"/>
    </xf>
    <xf numFmtId="0" fontId="29" fillId="2" borderId="48" xfId="8" applyFont="1" applyFill="1" applyBorder="1" applyAlignment="1" applyProtection="1">
      <alignment horizontal="center" vertical="center"/>
    </xf>
    <xf numFmtId="0" fontId="29" fillId="2" borderId="22" xfId="8" applyFont="1" applyFill="1" applyBorder="1" applyAlignment="1" applyProtection="1">
      <alignment horizontal="center" vertical="center"/>
    </xf>
    <xf numFmtId="0" fontId="29" fillId="4" borderId="48" xfId="8" applyFont="1" applyFill="1" applyBorder="1" applyAlignment="1" applyProtection="1">
      <alignment horizontal="center" vertical="center"/>
    </xf>
    <xf numFmtId="182" fontId="29" fillId="4" borderId="32" xfId="0" applyNumberFormat="1" applyFont="1" applyFill="1" applyBorder="1" applyAlignment="1" applyProtection="1">
      <alignment horizontal="right" vertical="center"/>
    </xf>
    <xf numFmtId="182" fontId="29" fillId="2" borderId="45" xfId="0" applyNumberFormat="1" applyFont="1" applyFill="1" applyBorder="1" applyAlignment="1" applyProtection="1">
      <alignment horizontal="right" vertical="center"/>
    </xf>
    <xf numFmtId="168" fontId="29" fillId="2" borderId="0" xfId="0" applyNumberFormat="1" applyFont="1" applyFill="1" applyBorder="1" applyAlignment="1" applyProtection="1">
      <alignment horizontal="right" vertical="center"/>
    </xf>
    <xf numFmtId="182" fontId="29" fillId="4" borderId="45" xfId="0" applyNumberFormat="1" applyFont="1" applyFill="1" applyBorder="1" applyAlignment="1" applyProtection="1">
      <alignment horizontal="right" vertical="center"/>
    </xf>
    <xf numFmtId="182" fontId="29" fillId="4" borderId="32" xfId="8" applyNumberFormat="1" applyFont="1" applyFill="1" applyBorder="1" applyAlignment="1" applyProtection="1">
      <alignment horizontal="right" vertical="center"/>
    </xf>
    <xf numFmtId="182" fontId="29" fillId="2" borderId="45" xfId="8" applyNumberFormat="1" applyFont="1" applyFill="1" applyBorder="1" applyAlignment="1" applyProtection="1">
      <alignment horizontal="right" vertical="center"/>
    </xf>
    <xf numFmtId="168" fontId="29" fillId="2" borderId="0" xfId="8" applyNumberFormat="1" applyFont="1" applyFill="1" applyBorder="1" applyAlignment="1" applyProtection="1">
      <alignment horizontal="right" vertical="center"/>
    </xf>
    <xf numFmtId="182" fontId="29" fillId="4" borderId="45" xfId="8" applyNumberFormat="1" applyFont="1" applyFill="1" applyBorder="1" applyAlignment="1" applyProtection="1">
      <alignment horizontal="right" vertical="center"/>
    </xf>
    <xf numFmtId="182" fontId="29" fillId="4" borderId="33" xfId="8" applyNumberFormat="1" applyFont="1" applyFill="1" applyBorder="1" applyAlignment="1" applyProtection="1">
      <alignment vertical="center"/>
    </xf>
    <xf numFmtId="182" fontId="29" fillId="2" borderId="20" xfId="8" applyNumberFormat="1" applyFont="1" applyFill="1" applyBorder="1" applyAlignment="1" applyProtection="1">
      <alignment vertical="center"/>
    </xf>
    <xf numFmtId="168" fontId="29" fillId="2" borderId="7" xfId="8" applyNumberFormat="1" applyFont="1" applyFill="1" applyBorder="1" applyAlignment="1" applyProtection="1">
      <alignment vertical="center"/>
    </xf>
    <xf numFmtId="170" fontId="33" fillId="2" borderId="15" xfId="6" applyNumberFormat="1" applyFont="1" applyFill="1" applyBorder="1" applyAlignment="1" applyProtection="1">
      <alignment vertical="center"/>
    </xf>
    <xf numFmtId="182" fontId="29" fillId="4" borderId="20" xfId="8" applyNumberFormat="1" applyFont="1" applyFill="1" applyBorder="1" applyAlignment="1" applyProtection="1">
      <alignment vertical="center"/>
    </xf>
    <xf numFmtId="0" fontId="29" fillId="2" borderId="0" xfId="0" applyFont="1" applyFill="1" applyBorder="1" applyAlignment="1" applyProtection="1">
      <alignment horizontal="left" vertical="center"/>
    </xf>
    <xf numFmtId="14" fontId="29" fillId="0" borderId="0" xfId="0" applyNumberFormat="1" applyFont="1" applyBorder="1" applyAlignment="1">
      <alignment horizontal="left" vertical="top"/>
    </xf>
    <xf numFmtId="0" fontId="26" fillId="0" borderId="0" xfId="0" applyFont="1" applyBorder="1" applyAlignment="1">
      <alignment vertical="center"/>
    </xf>
    <xf numFmtId="0" fontId="0" fillId="0" borderId="0" xfId="0" applyBorder="1" applyAlignment="1">
      <alignment horizontal="centerContinuous" vertical="top"/>
    </xf>
    <xf numFmtId="0" fontId="18" fillId="0" borderId="0" xfId="0" applyFont="1" applyBorder="1" applyAlignment="1">
      <alignment horizontal="right" vertical="top"/>
    </xf>
    <xf numFmtId="0" fontId="23" fillId="0" borderId="0" xfId="0" applyFont="1" applyBorder="1" applyAlignment="1">
      <alignment horizontal="right" vertical="top"/>
    </xf>
    <xf numFmtId="0" fontId="29" fillId="0" borderId="0" xfId="0" applyFont="1" applyBorder="1" applyAlignment="1">
      <alignment vertical="top"/>
    </xf>
    <xf numFmtId="182" fontId="27" fillId="0" borderId="0" xfId="0" applyNumberFormat="1" applyFont="1" applyBorder="1" applyAlignment="1">
      <alignment horizontal="right" vertical="center"/>
    </xf>
    <xf numFmtId="182" fontId="27" fillId="2" borderId="0" xfId="0" applyNumberFormat="1" applyFont="1" applyFill="1" applyBorder="1" applyAlignment="1">
      <alignment horizontal="right" vertical="center"/>
    </xf>
    <xf numFmtId="173" fontId="26" fillId="0" borderId="0" xfId="0" applyNumberFormat="1" applyFont="1" applyBorder="1" applyAlignment="1">
      <alignment horizontal="right" vertical="center"/>
    </xf>
    <xf numFmtId="173" fontId="26" fillId="2" borderId="0" xfId="0" applyNumberFormat="1" applyFont="1" applyFill="1" applyBorder="1" applyAlignment="1">
      <alignment horizontal="right" vertical="center"/>
    </xf>
    <xf numFmtId="171" fontId="27" fillId="0" borderId="0" xfId="0" applyNumberFormat="1" applyFont="1" applyBorder="1" applyAlignment="1">
      <alignment horizontal="right" vertical="center"/>
    </xf>
    <xf numFmtId="171" fontId="27" fillId="2" borderId="0" xfId="0" applyNumberFormat="1" applyFont="1" applyFill="1" applyBorder="1" applyAlignment="1">
      <alignment horizontal="right" vertical="center"/>
    </xf>
    <xf numFmtId="171" fontId="27" fillId="4" borderId="0" xfId="0" applyNumberFormat="1" applyFont="1" applyFill="1" applyBorder="1" applyAlignment="1">
      <alignment horizontal="right" vertical="center"/>
    </xf>
    <xf numFmtId="179" fontId="22" fillId="3" borderId="6" xfId="0" applyNumberFormat="1" applyFont="1" applyFill="1" applyBorder="1" applyAlignment="1" applyProtection="1">
      <alignment vertical="center"/>
      <protection locked="0"/>
    </xf>
    <xf numFmtId="179" fontId="22" fillId="3" borderId="0" xfId="0" applyNumberFormat="1" applyFont="1" applyFill="1" applyBorder="1" applyAlignment="1" applyProtection="1">
      <alignment vertical="center"/>
      <protection locked="0"/>
    </xf>
    <xf numFmtId="179" fontId="22" fillId="3" borderId="49" xfId="0" applyNumberFormat="1" applyFont="1" applyFill="1" applyBorder="1" applyAlignment="1" applyProtection="1">
      <alignment horizontal="right" vertical="center"/>
      <protection locked="0"/>
    </xf>
    <xf numFmtId="0" fontId="27" fillId="0" borderId="13" xfId="0" applyFont="1" applyBorder="1" applyAlignment="1">
      <alignment vertical="center"/>
    </xf>
    <xf numFmtId="0" fontId="27" fillId="0" borderId="10" xfId="0" applyFont="1" applyBorder="1" applyAlignment="1">
      <alignment vertical="center"/>
    </xf>
    <xf numFmtId="0" fontId="27" fillId="0" borderId="24" xfId="0" applyFont="1" applyBorder="1" applyAlignment="1">
      <alignment vertical="center"/>
    </xf>
    <xf numFmtId="176" fontId="22" fillId="3" borderId="77" xfId="0" applyNumberFormat="1" applyFont="1" applyFill="1" applyBorder="1" applyAlignment="1" applyProtection="1">
      <alignment vertical="center"/>
      <protection locked="0"/>
    </xf>
    <xf numFmtId="176" fontId="22" fillId="3" borderId="56" xfId="0" applyNumberFormat="1" applyFont="1" applyFill="1" applyBorder="1" applyAlignment="1" applyProtection="1">
      <alignment vertical="center"/>
      <protection locked="0"/>
    </xf>
    <xf numFmtId="176" fontId="22" fillId="3" borderId="49" xfId="0" applyNumberFormat="1" applyFont="1" applyFill="1" applyBorder="1" applyAlignment="1" applyProtection="1">
      <alignment vertical="center"/>
      <protection locked="0"/>
    </xf>
    <xf numFmtId="0" fontId="22" fillId="0" borderId="10" xfId="0" applyFont="1" applyBorder="1" applyAlignment="1">
      <alignment vertical="center"/>
    </xf>
    <xf numFmtId="0" fontId="22" fillId="0" borderId="24" xfId="0" applyFont="1" applyBorder="1" applyAlignment="1">
      <alignment vertical="center"/>
    </xf>
    <xf numFmtId="0" fontId="0" fillId="0" borderId="77" xfId="0" applyBorder="1" applyAlignment="1">
      <alignment vertical="center"/>
    </xf>
    <xf numFmtId="2" fontId="29" fillId="4" borderId="54" xfId="0" applyNumberFormat="1" applyFont="1" applyFill="1" applyBorder="1" applyAlignment="1" applyProtection="1">
      <alignment horizontal="center" vertical="center"/>
    </xf>
    <xf numFmtId="2" fontId="60" fillId="4" borderId="7" xfId="8" applyNumberFormat="1" applyFont="1" applyFill="1" applyBorder="1" applyAlignment="1">
      <alignment horizontal="center" vertical="center"/>
    </xf>
    <xf numFmtId="0" fontId="29" fillId="0" borderId="56" xfId="0" applyFont="1" applyBorder="1" applyAlignment="1">
      <alignment horizontal="right" vertical="center"/>
    </xf>
    <xf numFmtId="2" fontId="29" fillId="4" borderId="56" xfId="0" applyNumberFormat="1" applyFont="1" applyFill="1" applyBorder="1" applyAlignment="1" applyProtection="1">
      <alignment horizontal="center" vertical="center"/>
    </xf>
    <xf numFmtId="166" fontId="29" fillId="4" borderId="78" xfId="0" applyNumberFormat="1" applyFont="1" applyFill="1" applyBorder="1" applyAlignment="1" applyProtection="1">
      <alignment horizontal="center" vertical="center"/>
    </xf>
    <xf numFmtId="0" fontId="22" fillId="0" borderId="30" xfId="0" applyFont="1" applyBorder="1" applyAlignment="1" applyProtection="1">
      <alignment vertical="center"/>
    </xf>
    <xf numFmtId="0" fontId="33" fillId="0" borderId="8" xfId="8" applyFont="1" applyBorder="1" applyAlignment="1" applyProtection="1">
      <alignment horizontal="left" vertical="center"/>
    </xf>
    <xf numFmtId="0" fontId="70" fillId="0" borderId="0" xfId="0" applyFont="1" applyAlignment="1">
      <alignment vertical="top"/>
    </xf>
    <xf numFmtId="0" fontId="0" fillId="0" borderId="0" xfId="0" applyAlignment="1" applyProtection="1">
      <alignment horizontal="center" vertical="top"/>
    </xf>
    <xf numFmtId="0" fontId="22" fillId="0" borderId="0" xfId="0" applyFont="1" applyBorder="1" applyAlignment="1" applyProtection="1">
      <alignment horizontal="center" vertical="top"/>
    </xf>
    <xf numFmtId="0" fontId="0" fillId="0" borderId="0" xfId="0" applyBorder="1" applyAlignment="1" applyProtection="1">
      <alignment horizontal="center" vertical="center"/>
    </xf>
    <xf numFmtId="0" fontId="37" fillId="0" borderId="5" xfId="0" applyFont="1" applyBorder="1" applyAlignment="1">
      <alignment vertical="top"/>
    </xf>
    <xf numFmtId="0" fontId="0" fillId="0" borderId="6" xfId="0" applyBorder="1" applyAlignment="1">
      <alignment vertical="top"/>
    </xf>
    <xf numFmtId="0" fontId="0" fillId="0" borderId="13" xfId="0" applyBorder="1"/>
    <xf numFmtId="0" fontId="29" fillId="0" borderId="3" xfId="0" applyFont="1" applyBorder="1" applyAlignment="1">
      <alignment horizontal="left" vertical="center"/>
    </xf>
    <xf numFmtId="14" fontId="29" fillId="0" borderId="0" xfId="0" applyNumberFormat="1" applyFont="1" applyBorder="1" applyAlignment="1">
      <alignment horizontal="center" vertical="center"/>
    </xf>
    <xf numFmtId="0" fontId="37" fillId="0" borderId="3" xfId="0" applyFont="1" applyBorder="1" applyAlignment="1">
      <alignment vertical="top"/>
    </xf>
    <xf numFmtId="0" fontId="0" fillId="0" borderId="0" xfId="0" applyBorder="1" applyAlignment="1">
      <alignment horizontal="centerContinuous"/>
    </xf>
    <xf numFmtId="0" fontId="0" fillId="4" borderId="3" xfId="0" applyFill="1" applyBorder="1" applyAlignment="1">
      <alignment horizontal="centerContinuous" vertical="center"/>
    </xf>
    <xf numFmtId="0" fontId="35" fillId="4" borderId="0" xfId="0" applyFont="1" applyFill="1" applyBorder="1" applyAlignment="1">
      <alignment horizontal="left" vertical="top"/>
    </xf>
    <xf numFmtId="0" fontId="35" fillId="4" borderId="0" xfId="0" applyFont="1" applyFill="1" applyBorder="1" applyAlignment="1">
      <alignment horizontal="right" vertical="top"/>
    </xf>
    <xf numFmtId="0" fontId="36" fillId="4" borderId="10" xfId="0" applyFont="1" applyFill="1" applyBorder="1" applyAlignment="1">
      <alignment horizontal="left" vertical="top"/>
    </xf>
    <xf numFmtId="0" fontId="0" fillId="4" borderId="10" xfId="0" applyFill="1" applyBorder="1"/>
    <xf numFmtId="0" fontId="0" fillId="4" borderId="10" xfId="0" applyFill="1" applyBorder="1" applyProtection="1"/>
    <xf numFmtId="0" fontId="0" fillId="0" borderId="3" xfId="0" applyBorder="1" applyAlignment="1">
      <alignment horizontal="centerContinuous" vertical="center"/>
    </xf>
    <xf numFmtId="0" fontId="29" fillId="0" borderId="0" xfId="0" applyFont="1" applyBorder="1" applyAlignment="1">
      <alignment horizontal="left" vertical="top"/>
    </xf>
    <xf numFmtId="0" fontId="36" fillId="0" borderId="10" xfId="0" applyFont="1" applyBorder="1" applyAlignment="1">
      <alignment horizontal="left" vertical="top"/>
    </xf>
    <xf numFmtId="0" fontId="35" fillId="0" borderId="0" xfId="0" applyFont="1" applyBorder="1" applyAlignment="1">
      <alignment horizontal="left" vertical="top"/>
    </xf>
    <xf numFmtId="0" fontId="29" fillId="0" borderId="10" xfId="0" applyFont="1" applyBorder="1"/>
    <xf numFmtId="0" fontId="0" fillId="0" borderId="0" xfId="0" applyAlignment="1" applyProtection="1"/>
    <xf numFmtId="0" fontId="0" fillId="4" borderId="0" xfId="0" applyFill="1" applyBorder="1" applyAlignment="1" applyProtection="1"/>
    <xf numFmtId="187" fontId="22" fillId="4" borderId="0" xfId="0" applyNumberFormat="1" applyFont="1" applyFill="1" applyBorder="1" applyAlignment="1" applyProtection="1">
      <alignment horizontal="right"/>
    </xf>
    <xf numFmtId="0" fontId="23" fillId="0" borderId="0" xfId="0" applyFont="1" applyAlignment="1" applyProtection="1">
      <alignment horizontal="right"/>
    </xf>
    <xf numFmtId="2" fontId="0" fillId="0" borderId="0" xfId="0" applyNumberFormat="1"/>
    <xf numFmtId="0" fontId="29" fillId="0" borderId="80" xfId="0" applyFont="1" applyFill="1" applyBorder="1" applyAlignment="1" applyProtection="1">
      <alignment horizontal="center" vertical="center"/>
    </xf>
    <xf numFmtId="0" fontId="32" fillId="0" borderId="80" xfId="0" applyFont="1" applyFill="1" applyBorder="1" applyAlignment="1" applyProtection="1">
      <alignment horizontal="center" vertical="center"/>
    </xf>
    <xf numFmtId="0" fontId="31" fillId="0" borderId="83" xfId="0" applyFont="1" applyBorder="1" applyAlignment="1" applyProtection="1">
      <alignment vertical="center"/>
    </xf>
    <xf numFmtId="0" fontId="29" fillId="0" borderId="84" xfId="0" applyFont="1" applyFill="1" applyBorder="1" applyAlignment="1" applyProtection="1">
      <alignment horizontal="center" vertical="center"/>
    </xf>
    <xf numFmtId="0" fontId="31" fillId="0" borderId="84" xfId="0" applyFont="1" applyFill="1" applyBorder="1" applyAlignment="1" applyProtection="1">
      <alignment horizontal="centerContinuous" vertical="center"/>
    </xf>
    <xf numFmtId="0" fontId="29" fillId="0" borderId="85" xfId="0" applyFont="1" applyFill="1" applyBorder="1" applyAlignment="1" applyProtection="1">
      <alignment horizontal="centerContinuous" vertical="center"/>
    </xf>
    <xf numFmtId="0" fontId="31" fillId="0" borderId="84" xfId="0" applyFont="1" applyFill="1" applyBorder="1" applyAlignment="1" applyProtection="1">
      <alignment horizontal="center" vertical="center"/>
    </xf>
    <xf numFmtId="0" fontId="32" fillId="0" borderId="85" xfId="0" applyFont="1" applyFill="1" applyBorder="1" applyAlignment="1" applyProtection="1">
      <alignment horizontal="centerContinuous" vertical="center"/>
    </xf>
    <xf numFmtId="0" fontId="32" fillId="0" borderId="86" xfId="0" applyFont="1" applyFill="1" applyBorder="1" applyAlignment="1" applyProtection="1">
      <alignment horizontal="centerContinuous" vertical="center"/>
    </xf>
    <xf numFmtId="0" fontId="31" fillId="0" borderId="63" xfId="0" applyFont="1" applyBorder="1" applyAlignment="1" applyProtection="1">
      <alignment vertical="center"/>
    </xf>
    <xf numFmtId="0" fontId="31" fillId="0" borderId="65" xfId="0" applyFont="1" applyBorder="1" applyAlignment="1" applyProtection="1">
      <alignment vertical="center"/>
    </xf>
    <xf numFmtId="49" fontId="73" fillId="0" borderId="0" xfId="0" applyNumberFormat="1" applyFont="1" applyBorder="1" applyAlignment="1">
      <alignment horizontal="right" vertical="center"/>
    </xf>
    <xf numFmtId="49" fontId="36" fillId="0" borderId="0" xfId="0" applyNumberFormat="1" applyFont="1" applyBorder="1" applyAlignment="1">
      <alignment vertical="center"/>
    </xf>
    <xf numFmtId="0" fontId="36" fillId="0" borderId="0" xfId="0" applyFont="1"/>
    <xf numFmtId="0" fontId="22" fillId="0" borderId="47" xfId="0" applyFont="1" applyBorder="1" applyAlignment="1" applyProtection="1">
      <alignment vertical="center"/>
    </xf>
    <xf numFmtId="2" fontId="29" fillId="5" borderId="78" xfId="0" applyNumberFormat="1" applyFont="1" applyFill="1" applyBorder="1" applyAlignment="1" applyProtection="1">
      <alignment horizontal="right" vertical="center"/>
      <protection locked="0"/>
    </xf>
    <xf numFmtId="2" fontId="29" fillId="5" borderId="59" xfId="0" applyNumberFormat="1" applyFont="1" applyFill="1" applyBorder="1" applyAlignment="1" applyProtection="1">
      <alignment horizontal="right" vertical="center"/>
      <protection locked="0"/>
    </xf>
    <xf numFmtId="170" fontId="29" fillId="5" borderId="59" xfId="0" applyNumberFormat="1" applyFont="1" applyFill="1" applyBorder="1" applyAlignment="1" applyProtection="1">
      <alignment horizontal="right" vertical="center"/>
      <protection locked="0"/>
    </xf>
    <xf numFmtId="0" fontId="29" fillId="0" borderId="88" xfId="8" applyFont="1" applyBorder="1" applyAlignment="1" applyProtection="1">
      <alignment horizontal="center" vertical="center"/>
    </xf>
    <xf numFmtId="0" fontId="29" fillId="0" borderId="47" xfId="8" applyFont="1" applyBorder="1" applyAlignment="1" applyProtection="1">
      <alignment vertical="center"/>
    </xf>
    <xf numFmtId="0" fontId="29" fillId="5" borderId="89" xfId="8" applyFont="1" applyFill="1" applyBorder="1" applyAlignment="1" applyProtection="1">
      <alignment vertical="center"/>
      <protection locked="0"/>
    </xf>
    <xf numFmtId="0" fontId="29" fillId="5" borderId="90" xfId="8" applyFont="1" applyFill="1" applyBorder="1" applyAlignment="1" applyProtection="1">
      <alignment vertical="center"/>
      <protection locked="0"/>
    </xf>
    <xf numFmtId="0" fontId="0" fillId="5" borderId="90" xfId="0" applyFill="1" applyBorder="1" applyAlignment="1" applyProtection="1">
      <alignment vertical="center"/>
      <protection locked="0"/>
    </xf>
    <xf numFmtId="0" fontId="29" fillId="5" borderId="91" xfId="0" applyFont="1" applyFill="1" applyBorder="1" applyAlignment="1" applyProtection="1">
      <alignment vertical="center"/>
      <protection locked="0"/>
    </xf>
    <xf numFmtId="0" fontId="33" fillId="0" borderId="47" xfId="8" applyFont="1" applyBorder="1" applyAlignment="1" applyProtection="1">
      <alignment horizontal="right" vertical="center"/>
    </xf>
    <xf numFmtId="0" fontId="0" fillId="0" borderId="60" xfId="0" applyBorder="1" applyAlignment="1" applyProtection="1">
      <alignment vertical="center"/>
    </xf>
    <xf numFmtId="0" fontId="29" fillId="0" borderId="10" xfId="8" applyFont="1" applyBorder="1" applyAlignment="1" applyProtection="1">
      <alignment horizontal="center" vertical="center"/>
    </xf>
    <xf numFmtId="170" fontId="29" fillId="5" borderId="79" xfId="0" applyNumberFormat="1" applyFont="1" applyFill="1" applyBorder="1" applyAlignment="1" applyProtection="1">
      <alignment horizontal="right" vertical="center"/>
      <protection locked="0"/>
    </xf>
    <xf numFmtId="170" fontId="29" fillId="5" borderId="29" xfId="0" applyNumberFormat="1" applyFont="1" applyFill="1" applyBorder="1" applyAlignment="1" applyProtection="1">
      <alignment horizontal="right" vertical="center"/>
      <protection locked="0"/>
    </xf>
    <xf numFmtId="181" fontId="29" fillId="4" borderId="15" xfId="0" applyNumberFormat="1" applyFont="1" applyFill="1" applyBorder="1" applyAlignment="1" applyProtection="1">
      <alignment horizontal="right" vertical="center"/>
    </xf>
    <xf numFmtId="182" fontId="29" fillId="4" borderId="14" xfId="8" applyNumberFormat="1" applyFont="1" applyFill="1" applyBorder="1" applyAlignment="1" applyProtection="1">
      <alignment vertical="center"/>
    </xf>
    <xf numFmtId="0" fontId="32" fillId="0" borderId="3" xfId="8" applyFont="1" applyBorder="1" applyAlignment="1" applyProtection="1">
      <alignment vertical="center"/>
    </xf>
    <xf numFmtId="185" fontId="31" fillId="0" borderId="10" xfId="6" applyNumberFormat="1" applyFont="1" applyBorder="1" applyAlignment="1" applyProtection="1">
      <alignment horizontal="center" vertical="center"/>
    </xf>
    <xf numFmtId="0" fontId="35" fillId="0" borderId="0" xfId="0" applyFont="1" applyBorder="1" applyAlignment="1">
      <alignment horizontal="centerContinuous" vertical="center"/>
    </xf>
    <xf numFmtId="0" fontId="29" fillId="0" borderId="0" xfId="0" applyFont="1" applyBorder="1" applyAlignment="1">
      <alignment horizontal="centerContinuous" vertical="top"/>
    </xf>
    <xf numFmtId="0" fontId="22" fillId="0" borderId="0" xfId="8" applyFont="1" applyBorder="1" applyAlignment="1" applyProtection="1">
      <alignment horizontal="left" vertical="center"/>
    </xf>
    <xf numFmtId="0" fontId="0" fillId="0" borderId="45" xfId="0" applyBorder="1" applyAlignment="1">
      <alignment vertical="top"/>
    </xf>
    <xf numFmtId="0" fontId="15" fillId="0" borderId="0" xfId="0" applyFont="1" applyBorder="1" applyAlignment="1">
      <alignment vertical="center"/>
    </xf>
    <xf numFmtId="0" fontId="40" fillId="0" borderId="0" xfId="0" applyFont="1" applyBorder="1" applyAlignment="1">
      <alignment horizontal="right" vertical="center"/>
    </xf>
    <xf numFmtId="0" fontId="29" fillId="4" borderId="7" xfId="0" applyFont="1" applyFill="1" applyBorder="1" applyAlignment="1" applyProtection="1">
      <alignment horizontal="right" vertical="center"/>
    </xf>
    <xf numFmtId="166" fontId="29" fillId="4" borderId="48" xfId="0" applyNumberFormat="1" applyFont="1" applyFill="1" applyBorder="1" applyAlignment="1" applyProtection="1">
      <alignment horizontal="center" vertical="center"/>
    </xf>
    <xf numFmtId="0" fontId="29" fillId="4" borderId="3" xfId="8" applyFont="1" applyFill="1" applyBorder="1" applyAlignment="1" applyProtection="1">
      <alignment vertical="center"/>
    </xf>
    <xf numFmtId="187" fontId="27" fillId="4" borderId="0" xfId="0" applyNumberFormat="1" applyFont="1" applyFill="1" applyBorder="1" applyAlignment="1">
      <alignment horizontal="right" vertical="center"/>
    </xf>
    <xf numFmtId="173" fontId="20" fillId="4" borderId="0" xfId="0" applyNumberFormat="1" applyFont="1" applyFill="1" applyBorder="1" applyAlignment="1">
      <alignment horizontal="right" vertical="center"/>
    </xf>
    <xf numFmtId="0" fontId="26" fillId="4" borderId="0" xfId="8" applyFont="1" applyFill="1" applyBorder="1" applyAlignment="1" applyProtection="1">
      <alignment vertical="center"/>
    </xf>
    <xf numFmtId="170" fontId="26" fillId="4" borderId="0" xfId="0" applyNumberFormat="1" applyFont="1" applyFill="1" applyBorder="1" applyAlignment="1">
      <alignment horizontal="right" vertical="center"/>
    </xf>
    <xf numFmtId="0" fontId="29" fillId="0" borderId="6" xfId="0" applyFont="1" applyBorder="1" applyAlignment="1">
      <alignment horizontal="right" vertical="center"/>
    </xf>
    <xf numFmtId="187" fontId="27" fillId="7" borderId="8" xfId="0" applyNumberFormat="1" applyFont="1" applyFill="1" applyBorder="1" applyAlignment="1">
      <alignment horizontal="right" vertical="center"/>
    </xf>
    <xf numFmtId="185" fontId="20" fillId="7" borderId="8" xfId="0" applyNumberFormat="1" applyFont="1" applyFill="1" applyBorder="1" applyAlignment="1">
      <alignment horizontal="right" vertical="center"/>
    </xf>
    <xf numFmtId="0" fontId="25" fillId="7" borderId="0" xfId="8" applyFont="1" applyFill="1" applyBorder="1" applyAlignment="1" applyProtection="1">
      <alignment vertical="center"/>
    </xf>
    <xf numFmtId="0" fontId="22" fillId="7" borderId="0" xfId="8" applyFont="1" applyFill="1" applyBorder="1" applyAlignment="1" applyProtection="1">
      <alignment vertical="center"/>
    </xf>
    <xf numFmtId="0" fontId="24" fillId="7" borderId="0" xfId="8" applyFont="1" applyFill="1" applyBorder="1" applyAlignment="1" applyProtection="1">
      <alignment vertical="center"/>
    </xf>
    <xf numFmtId="0" fontId="19" fillId="7" borderId="0" xfId="8" applyFont="1" applyFill="1" applyBorder="1" applyAlignment="1" applyProtection="1">
      <alignment vertical="center"/>
    </xf>
    <xf numFmtId="170" fontId="26" fillId="7" borderId="8" xfId="0" applyNumberFormat="1" applyFont="1" applyFill="1" applyBorder="1" applyAlignment="1">
      <alignment horizontal="right" vertical="center"/>
    </xf>
    <xf numFmtId="174" fontId="19" fillId="7" borderId="53" xfId="0" applyNumberFormat="1" applyFont="1" applyFill="1" applyBorder="1" applyAlignment="1">
      <alignment horizontal="center" vertical="center"/>
    </xf>
    <xf numFmtId="0" fontId="19" fillId="7" borderId="0" xfId="0" applyFont="1" applyFill="1" applyBorder="1" applyAlignment="1">
      <alignment vertical="center"/>
    </xf>
    <xf numFmtId="0" fontId="19" fillId="7" borderId="85" xfId="0" applyFont="1" applyFill="1" applyBorder="1" applyAlignment="1">
      <alignment vertical="center"/>
    </xf>
    <xf numFmtId="174" fontId="19" fillId="7" borderId="92" xfId="0" applyNumberFormat="1" applyFont="1" applyFill="1" applyBorder="1" applyAlignment="1">
      <alignment horizontal="center" vertical="center"/>
    </xf>
    <xf numFmtId="174" fontId="19" fillId="7" borderId="93" xfId="0" applyNumberFormat="1" applyFont="1" applyFill="1" applyBorder="1" applyAlignment="1">
      <alignment horizontal="center" vertical="center"/>
    </xf>
    <xf numFmtId="170" fontId="26" fillId="4" borderId="67" xfId="0" applyNumberFormat="1" applyFont="1" applyFill="1" applyBorder="1" applyAlignment="1">
      <alignment horizontal="right" vertical="center"/>
    </xf>
    <xf numFmtId="0" fontId="19" fillId="7" borderId="62" xfId="8" applyFont="1" applyFill="1" applyBorder="1" applyAlignment="1" applyProtection="1">
      <alignment vertical="center"/>
    </xf>
    <xf numFmtId="187" fontId="27" fillId="7" borderId="94" xfId="0" applyNumberFormat="1" applyFont="1" applyFill="1" applyBorder="1" applyAlignment="1">
      <alignment horizontal="right" vertical="center"/>
    </xf>
    <xf numFmtId="0" fontId="25" fillId="7" borderId="85" xfId="8" applyFont="1" applyFill="1" applyBorder="1" applyAlignment="1" applyProtection="1">
      <alignment vertical="center"/>
    </xf>
    <xf numFmtId="0" fontId="22" fillId="7" borderId="85" xfId="8" applyFont="1" applyFill="1" applyBorder="1" applyAlignment="1" applyProtection="1">
      <alignment vertical="center"/>
    </xf>
    <xf numFmtId="0" fontId="29" fillId="0" borderId="10" xfId="8" applyFont="1" applyFill="1" applyBorder="1" applyAlignment="1" applyProtection="1">
      <alignment horizontal="right" vertical="center"/>
    </xf>
    <xf numFmtId="0" fontId="29" fillId="0" borderId="0" xfId="8" applyFont="1" applyBorder="1" applyAlignment="1" applyProtection="1">
      <alignment horizontal="right" vertical="center"/>
    </xf>
    <xf numFmtId="187" fontId="22" fillId="7" borderId="8" xfId="0" applyNumberFormat="1" applyFont="1" applyFill="1" applyBorder="1" applyAlignment="1">
      <alignment horizontal="right" vertical="center"/>
    </xf>
    <xf numFmtId="185" fontId="22" fillId="7" borderId="8" xfId="0" applyNumberFormat="1" applyFont="1" applyFill="1" applyBorder="1" applyAlignment="1">
      <alignment horizontal="right" vertical="center"/>
    </xf>
    <xf numFmtId="185" fontId="22" fillId="4" borderId="71" xfId="4" applyNumberFormat="1" applyFont="1" applyFill="1" applyBorder="1" applyAlignment="1">
      <alignment horizontal="right" vertical="center"/>
    </xf>
    <xf numFmtId="0" fontId="47" fillId="4" borderId="0" xfId="0" applyFont="1" applyFill="1" applyBorder="1" applyAlignment="1">
      <alignment textRotation="90"/>
    </xf>
    <xf numFmtId="0" fontId="47" fillId="4" borderId="0" xfId="0" applyFont="1" applyFill="1" applyBorder="1" applyAlignment="1">
      <alignment vertical="center" textRotation="90"/>
    </xf>
    <xf numFmtId="0" fontId="47" fillId="4" borderId="95" xfId="0" applyFont="1" applyFill="1" applyBorder="1" applyAlignment="1">
      <alignment horizontal="center" vertical="center"/>
    </xf>
    <xf numFmtId="0" fontId="47" fillId="4" borderId="0" xfId="0" applyFont="1" applyFill="1" applyBorder="1"/>
    <xf numFmtId="0" fontId="47" fillId="0" borderId="0" xfId="0" applyFont="1" applyBorder="1"/>
    <xf numFmtId="49" fontId="0" fillId="0" borderId="0" xfId="0" applyNumberFormat="1" applyBorder="1" applyAlignment="1">
      <alignment horizontal="left" vertical="center"/>
    </xf>
    <xf numFmtId="0" fontId="29" fillId="7" borderId="0" xfId="8" applyFont="1" applyFill="1" applyBorder="1" applyAlignment="1" applyProtection="1">
      <alignment horizontal="right" vertical="center"/>
    </xf>
    <xf numFmtId="0" fontId="29" fillId="7" borderId="62" xfId="8" applyFont="1" applyFill="1" applyBorder="1" applyAlignment="1" applyProtection="1">
      <alignment horizontal="right" vertical="center"/>
    </xf>
    <xf numFmtId="0" fontId="29" fillId="7" borderId="85" xfId="0" applyFont="1" applyFill="1" applyBorder="1" applyAlignment="1">
      <alignment horizontal="left" vertical="center"/>
    </xf>
    <xf numFmtId="0" fontId="29" fillId="7" borderId="0" xfId="0" applyFont="1" applyFill="1" applyBorder="1" applyAlignment="1">
      <alignment horizontal="left" vertical="center"/>
    </xf>
    <xf numFmtId="0" fontId="29" fillId="0" borderId="24" xfId="8" applyFont="1" applyBorder="1" applyAlignment="1" applyProtection="1">
      <alignment horizontal="right" vertical="center"/>
    </xf>
    <xf numFmtId="0" fontId="29" fillId="7" borderId="10" xfId="8" applyFont="1" applyFill="1" applyBorder="1" applyAlignment="1" applyProtection="1">
      <alignment horizontal="right" vertical="center"/>
    </xf>
    <xf numFmtId="0" fontId="29" fillId="4" borderId="0" xfId="8" applyFont="1" applyFill="1" applyBorder="1" applyAlignment="1" applyProtection="1">
      <alignment horizontal="right" vertical="center"/>
    </xf>
    <xf numFmtId="0" fontId="29" fillId="7" borderId="85" xfId="8" applyFont="1" applyFill="1" applyBorder="1" applyAlignment="1" applyProtection="1">
      <alignment horizontal="right" vertical="center"/>
    </xf>
    <xf numFmtId="0" fontId="29" fillId="4" borderId="7" xfId="8" applyFont="1" applyFill="1" applyBorder="1" applyAlignment="1" applyProtection="1">
      <alignment horizontal="right" vertical="center"/>
    </xf>
    <xf numFmtId="3" fontId="20" fillId="7" borderId="5" xfId="0" applyNumberFormat="1" applyFont="1" applyFill="1" applyBorder="1" applyAlignment="1" applyProtection="1">
      <alignment horizontal="centerContinuous" vertical="center"/>
    </xf>
    <xf numFmtId="173" fontId="31" fillId="7" borderId="13" xfId="6" applyNumberFormat="1" applyFont="1" applyFill="1" applyBorder="1" applyAlignment="1" applyProtection="1">
      <alignment horizontal="centerContinuous" vertical="center"/>
    </xf>
    <xf numFmtId="0" fontId="29" fillId="7" borderId="4" xfId="0" applyFont="1" applyFill="1" applyBorder="1" applyProtection="1"/>
    <xf numFmtId="173" fontId="31" fillId="7" borderId="24" xfId="6" applyNumberFormat="1" applyFont="1" applyFill="1" applyBorder="1" applyAlignment="1" applyProtection="1">
      <alignment horizontal="right" vertical="center"/>
    </xf>
    <xf numFmtId="0" fontId="0" fillId="7" borderId="4" xfId="0" applyFill="1" applyBorder="1" applyProtection="1"/>
    <xf numFmtId="173" fontId="33" fillId="7" borderId="24" xfId="6" applyNumberFormat="1" applyFont="1" applyFill="1" applyBorder="1" applyAlignment="1" applyProtection="1">
      <alignment horizontal="right" vertical="center"/>
    </xf>
    <xf numFmtId="167" fontId="29" fillId="7" borderId="3" xfId="0" applyNumberFormat="1" applyFont="1" applyFill="1" applyBorder="1" applyAlignment="1" applyProtection="1">
      <alignment horizontal="centerContinuous" vertical="center"/>
    </xf>
    <xf numFmtId="0" fontId="0" fillId="7" borderId="10" xfId="0" applyFill="1" applyBorder="1" applyAlignment="1" applyProtection="1">
      <alignment horizontal="centerContinuous"/>
    </xf>
    <xf numFmtId="167" fontId="29" fillId="7" borderId="21" xfId="0" applyNumberFormat="1" applyFont="1" applyFill="1" applyBorder="1" applyAlignment="1" applyProtection="1">
      <alignment horizontal="centerContinuous"/>
    </xf>
    <xf numFmtId="0" fontId="29" fillId="7" borderId="35" xfId="0" applyFont="1" applyFill="1" applyBorder="1" applyAlignment="1" applyProtection="1">
      <alignment horizontal="centerContinuous"/>
    </xf>
    <xf numFmtId="167" fontId="29" fillId="7" borderId="21" xfId="0" applyNumberFormat="1" applyFont="1" applyFill="1" applyBorder="1" applyAlignment="1" applyProtection="1">
      <alignment horizontal="centerContinuous" vertical="center"/>
    </xf>
    <xf numFmtId="0" fontId="0" fillId="7" borderId="35" xfId="0" applyFill="1" applyBorder="1" applyAlignment="1" applyProtection="1">
      <alignment horizontal="centerContinuous"/>
    </xf>
    <xf numFmtId="165" fontId="29" fillId="7" borderId="3" xfId="0" applyNumberFormat="1" applyFont="1" applyFill="1" applyBorder="1" applyAlignment="1" applyProtection="1">
      <alignment horizontal="centerContinuous" vertical="center"/>
    </xf>
    <xf numFmtId="165" fontId="29" fillId="7" borderId="4" xfId="0" applyNumberFormat="1" applyFont="1" applyFill="1" applyBorder="1" applyAlignment="1" applyProtection="1">
      <alignment horizontal="centerContinuous" vertical="center"/>
    </xf>
    <xf numFmtId="0" fontId="0" fillId="7" borderId="24" xfId="0" applyFill="1" applyBorder="1" applyAlignment="1" applyProtection="1">
      <alignment horizontal="centerContinuous"/>
    </xf>
    <xf numFmtId="167" fontId="32" fillId="7" borderId="3" xfId="0" applyNumberFormat="1" applyFont="1" applyFill="1" applyBorder="1" applyAlignment="1" applyProtection="1">
      <alignment horizontal="centerContinuous" vertical="center"/>
    </xf>
    <xf numFmtId="167" fontId="15" fillId="7" borderId="10" xfId="0" applyNumberFormat="1" applyFont="1" applyFill="1" applyBorder="1" applyAlignment="1" applyProtection="1">
      <alignment horizontal="centerContinuous"/>
    </xf>
    <xf numFmtId="164" fontId="20" fillId="7" borderId="3" xfId="0" applyNumberFormat="1" applyFont="1" applyFill="1" applyBorder="1" applyAlignment="1" applyProtection="1">
      <alignment horizontal="centerContinuous" vertical="center"/>
    </xf>
    <xf numFmtId="164" fontId="27" fillId="7" borderId="10" xfId="6" applyNumberFormat="1" applyFont="1" applyFill="1" applyBorder="1" applyAlignment="1" applyProtection="1">
      <alignment horizontal="centerContinuous" vertical="center"/>
    </xf>
    <xf numFmtId="164" fontId="29" fillId="7" borderId="21" xfId="0" applyNumberFormat="1" applyFont="1" applyFill="1" applyBorder="1" applyAlignment="1" applyProtection="1">
      <alignment horizontal="centerContinuous" vertical="center"/>
    </xf>
    <xf numFmtId="164" fontId="16" fillId="7" borderId="35" xfId="0" applyNumberFormat="1" applyFont="1" applyFill="1" applyBorder="1" applyAlignment="1" applyProtection="1">
      <alignment horizontal="centerContinuous"/>
    </xf>
    <xf numFmtId="165" fontId="0" fillId="7" borderId="10" xfId="0" applyNumberFormat="1" applyFill="1" applyBorder="1" applyAlignment="1" applyProtection="1">
      <alignment horizontal="centerContinuous"/>
    </xf>
    <xf numFmtId="3" fontId="20" fillId="7" borderId="3" xfId="0" applyNumberFormat="1" applyFont="1" applyFill="1" applyBorder="1" applyAlignment="1" applyProtection="1">
      <alignment horizontal="centerContinuous" vertical="center"/>
    </xf>
    <xf numFmtId="173" fontId="31" fillId="7" borderId="10" xfId="6" applyNumberFormat="1" applyFont="1" applyFill="1" applyBorder="1" applyAlignment="1" applyProtection="1">
      <alignment horizontal="centerContinuous" vertical="center"/>
    </xf>
    <xf numFmtId="3" fontId="20" fillId="7" borderId="4" xfId="0" applyNumberFormat="1" applyFont="1" applyFill="1" applyBorder="1" applyAlignment="1" applyProtection="1">
      <alignment horizontal="centerContinuous" vertical="center"/>
    </xf>
    <xf numFmtId="173" fontId="31" fillId="7" borderId="24" xfId="6" applyNumberFormat="1" applyFont="1" applyFill="1" applyBorder="1" applyAlignment="1" applyProtection="1">
      <alignment horizontal="centerContinuous" vertical="center"/>
    </xf>
    <xf numFmtId="173" fontId="27" fillId="7" borderId="3" xfId="6" applyNumberFormat="1" applyFont="1" applyFill="1" applyBorder="1" applyAlignment="1" applyProtection="1">
      <alignment vertical="center"/>
    </xf>
    <xf numFmtId="185" fontId="27" fillId="7" borderId="13" xfId="6" applyNumberFormat="1" applyFont="1" applyFill="1" applyBorder="1" applyAlignment="1" applyProtection="1">
      <alignment vertical="center"/>
    </xf>
    <xf numFmtId="173" fontId="29" fillId="7" borderId="3" xfId="6" applyNumberFormat="1" applyFont="1" applyFill="1" applyBorder="1" applyAlignment="1" applyProtection="1">
      <alignment vertical="center"/>
    </xf>
    <xf numFmtId="170" fontId="29" fillId="7" borderId="10" xfId="6" applyNumberFormat="1" applyFont="1" applyFill="1" applyBorder="1" applyAlignment="1" applyProtection="1">
      <alignment vertical="center"/>
    </xf>
    <xf numFmtId="173" fontId="29" fillId="7" borderId="4" xfId="6" applyNumberFormat="1" applyFont="1" applyFill="1" applyBorder="1" applyAlignment="1" applyProtection="1">
      <alignment vertical="center"/>
    </xf>
    <xf numFmtId="173" fontId="22" fillId="7" borderId="21" xfId="0" applyNumberFormat="1" applyFont="1" applyFill="1" applyBorder="1" applyAlignment="1" applyProtection="1">
      <alignment vertical="center"/>
    </xf>
    <xf numFmtId="185" fontId="27" fillId="7" borderId="60" xfId="6" applyNumberFormat="1" applyFont="1" applyFill="1" applyBorder="1" applyAlignment="1" applyProtection="1">
      <alignment vertical="center"/>
    </xf>
    <xf numFmtId="173" fontId="22" fillId="7" borderId="4" xfId="0" applyNumberFormat="1" applyFont="1" applyFill="1" applyBorder="1" applyAlignment="1" applyProtection="1">
      <alignment vertical="center"/>
    </xf>
    <xf numFmtId="185" fontId="27" fillId="7" borderId="24" xfId="6" applyNumberFormat="1" applyFont="1" applyFill="1" applyBorder="1" applyAlignment="1" applyProtection="1">
      <alignment vertical="center"/>
    </xf>
    <xf numFmtId="173" fontId="27" fillId="7" borderId="21" xfId="0" applyNumberFormat="1" applyFont="1" applyFill="1" applyBorder="1" applyAlignment="1" applyProtection="1">
      <alignment horizontal="right" vertical="center"/>
    </xf>
    <xf numFmtId="173" fontId="29" fillId="7" borderId="43" xfId="0" applyNumberFormat="1" applyFont="1" applyFill="1" applyBorder="1" applyAlignment="1" applyProtection="1">
      <alignment horizontal="center" vertical="center"/>
    </xf>
    <xf numFmtId="173" fontId="29" fillId="7" borderId="42" xfId="0" applyNumberFormat="1" applyFont="1" applyFill="1" applyBorder="1" applyAlignment="1" applyProtection="1">
      <alignment horizontal="center" vertical="center"/>
    </xf>
    <xf numFmtId="170" fontId="29" fillId="7" borderId="32" xfId="0" applyNumberFormat="1" applyFont="1" applyFill="1" applyBorder="1" applyAlignment="1" applyProtection="1">
      <alignment horizontal="right" vertical="center"/>
    </xf>
    <xf numFmtId="170" fontId="29" fillId="7" borderId="19" xfId="0" applyNumberFormat="1" applyFont="1" applyFill="1" applyBorder="1" applyAlignment="1" applyProtection="1">
      <alignment horizontal="right" vertical="center"/>
    </xf>
    <xf numFmtId="170" fontId="29" fillId="7" borderId="33" xfId="0" applyNumberFormat="1" applyFont="1" applyFill="1" applyBorder="1" applyAlignment="1" applyProtection="1">
      <alignment horizontal="right" vertical="center"/>
    </xf>
    <xf numFmtId="170" fontId="29" fillId="7" borderId="15" xfId="0" applyNumberFormat="1" applyFont="1" applyFill="1" applyBorder="1" applyAlignment="1" applyProtection="1">
      <alignment horizontal="right" vertical="center"/>
    </xf>
    <xf numFmtId="177" fontId="29" fillId="7" borderId="3" xfId="0" applyNumberFormat="1" applyFont="1" applyFill="1" applyBorder="1" applyAlignment="1" applyProtection="1">
      <alignment horizontal="right" vertical="center"/>
    </xf>
    <xf numFmtId="0" fontId="29" fillId="7" borderId="40" xfId="8" applyFont="1" applyFill="1" applyBorder="1" applyAlignment="1" applyProtection="1">
      <alignment horizontal="left" vertical="center"/>
    </xf>
    <xf numFmtId="173" fontId="29" fillId="7" borderId="41" xfId="0" applyNumberFormat="1" applyFont="1" applyFill="1" applyBorder="1" applyAlignment="1" applyProtection="1">
      <alignment horizontal="center" vertical="center"/>
    </xf>
    <xf numFmtId="3" fontId="27" fillId="7" borderId="22" xfId="6" applyNumberFormat="1" applyFont="1" applyFill="1" applyBorder="1" applyAlignment="1" applyProtection="1">
      <alignment vertical="center"/>
    </xf>
    <xf numFmtId="0" fontId="29" fillId="7" borderId="0" xfId="0" applyFont="1" applyFill="1" applyAlignment="1" applyProtection="1">
      <alignment horizontal="center"/>
    </xf>
    <xf numFmtId="170" fontId="33" fillId="7" borderId="39" xfId="6" applyNumberFormat="1" applyFont="1" applyFill="1" applyBorder="1" applyAlignment="1" applyProtection="1">
      <alignment horizontal="center" vertical="center"/>
    </xf>
    <xf numFmtId="0" fontId="0" fillId="7" borderId="22" xfId="0" applyFill="1" applyBorder="1" applyProtection="1"/>
    <xf numFmtId="182" fontId="29" fillId="7" borderId="18" xfId="8" applyNumberFormat="1" applyFont="1" applyFill="1" applyBorder="1" applyAlignment="1" applyProtection="1">
      <alignment vertical="center"/>
    </xf>
    <xf numFmtId="182" fontId="29" fillId="7" borderId="14" xfId="8" applyNumberFormat="1" applyFont="1" applyFill="1" applyBorder="1" applyAlignment="1" applyProtection="1">
      <alignment vertical="center"/>
    </xf>
    <xf numFmtId="170" fontId="33" fillId="7" borderId="15" xfId="6" applyNumberFormat="1" applyFont="1" applyFill="1" applyBorder="1" applyAlignment="1" applyProtection="1">
      <alignment vertical="center"/>
    </xf>
    <xf numFmtId="166" fontId="26" fillId="7" borderId="0" xfId="6" applyNumberFormat="1" applyFont="1" applyFill="1" applyBorder="1" applyAlignment="1" applyProtection="1">
      <alignment vertical="center"/>
    </xf>
    <xf numFmtId="170" fontId="16" fillId="7" borderId="10" xfId="0" applyNumberFormat="1" applyFont="1" applyFill="1" applyBorder="1" applyAlignment="1" applyProtection="1">
      <alignment vertical="center"/>
    </xf>
    <xf numFmtId="166" fontId="27" fillId="7" borderId="7" xfId="6" applyNumberFormat="1" applyFont="1" applyFill="1" applyBorder="1" applyAlignment="1" applyProtection="1">
      <alignment vertical="center"/>
    </xf>
    <xf numFmtId="170" fontId="32" fillId="7" borderId="24" xfId="0" applyNumberFormat="1" applyFont="1" applyFill="1" applyBorder="1" applyAlignment="1" applyProtection="1">
      <alignment horizontal="right" vertical="center"/>
    </xf>
    <xf numFmtId="173" fontId="32" fillId="7" borderId="21" xfId="0" applyNumberFormat="1" applyFont="1" applyFill="1" applyBorder="1" applyAlignment="1" applyProtection="1">
      <alignment horizontal="right" vertical="center"/>
    </xf>
    <xf numFmtId="185" fontId="27" fillId="7" borderId="35" xfId="6" applyNumberFormat="1" applyFont="1" applyFill="1" applyBorder="1" applyAlignment="1" applyProtection="1">
      <alignment vertical="center"/>
    </xf>
    <xf numFmtId="170" fontId="29" fillId="7" borderId="10" xfId="0" applyNumberFormat="1" applyFont="1" applyFill="1" applyBorder="1" applyAlignment="1" applyProtection="1">
      <alignment horizontal="right" vertical="center"/>
    </xf>
    <xf numFmtId="170" fontId="29" fillId="7" borderId="24" xfId="0" applyNumberFormat="1" applyFont="1" applyFill="1" applyBorder="1" applyAlignment="1" applyProtection="1">
      <alignment horizontal="right" vertical="center"/>
    </xf>
    <xf numFmtId="0" fontId="29" fillId="7" borderId="22" xfId="0" applyFont="1" applyFill="1" applyBorder="1" applyAlignment="1" applyProtection="1">
      <alignment horizontal="center" vertical="center"/>
    </xf>
    <xf numFmtId="0" fontId="0" fillId="7" borderId="0" xfId="0" applyFill="1" applyProtection="1"/>
    <xf numFmtId="185" fontId="27" fillId="7" borderId="10" xfId="6" applyNumberFormat="1" applyFont="1" applyFill="1" applyBorder="1" applyAlignment="1" applyProtection="1">
      <alignment vertical="center"/>
    </xf>
    <xf numFmtId="166" fontId="22" fillId="7" borderId="4" xfId="0" applyNumberFormat="1" applyFont="1" applyFill="1" applyBorder="1" applyAlignment="1" applyProtection="1">
      <alignment horizontal="right" vertical="center"/>
    </xf>
    <xf numFmtId="173" fontId="27" fillId="7" borderId="24" xfId="0" applyNumberFormat="1" applyFont="1" applyFill="1" applyBorder="1" applyAlignment="1" applyProtection="1">
      <alignment horizontal="right" vertical="center"/>
    </xf>
    <xf numFmtId="173" fontId="22" fillId="7" borderId="3" xfId="0" applyNumberFormat="1" applyFont="1" applyFill="1" applyBorder="1" applyAlignment="1" applyProtection="1">
      <alignment vertical="center"/>
    </xf>
    <xf numFmtId="173" fontId="22" fillId="7" borderId="25" xfId="0" applyNumberFormat="1" applyFont="1" applyFill="1" applyBorder="1" applyAlignment="1" applyProtection="1">
      <alignment vertical="center"/>
    </xf>
    <xf numFmtId="173" fontId="29" fillId="7" borderId="36" xfId="0" applyNumberFormat="1" applyFont="1" applyFill="1" applyBorder="1" applyAlignment="1" applyProtection="1">
      <alignment horizontal="center" vertical="center"/>
    </xf>
    <xf numFmtId="173" fontId="29" fillId="7" borderId="3" xfId="0" applyNumberFormat="1" applyFont="1" applyFill="1" applyBorder="1" applyAlignment="1" applyProtection="1">
      <alignment horizontal="right" vertical="center"/>
    </xf>
    <xf numFmtId="170" fontId="29" fillId="7" borderId="34" xfId="0" applyNumberFormat="1" applyFont="1" applyFill="1" applyBorder="1" applyAlignment="1" applyProtection="1">
      <alignment horizontal="right" vertical="center"/>
    </xf>
    <xf numFmtId="173" fontId="29" fillId="7" borderId="0" xfId="0" applyNumberFormat="1" applyFont="1" applyFill="1" applyBorder="1" applyAlignment="1" applyProtection="1">
      <alignment horizontal="right" vertical="center"/>
    </xf>
    <xf numFmtId="173" fontId="31" fillId="7" borderId="35" xfId="6" applyNumberFormat="1" applyFont="1" applyFill="1" applyBorder="1" applyAlignment="1">
      <alignment horizontal="centerContinuous" vertical="center"/>
    </xf>
    <xf numFmtId="0" fontId="47" fillId="4" borderId="0" xfId="0" applyFont="1" applyFill="1" applyBorder="1" applyAlignment="1">
      <alignment horizontal="center" vertical="center"/>
    </xf>
    <xf numFmtId="185" fontId="25" fillId="7" borderId="8" xfId="4" applyNumberFormat="1" applyFont="1" applyFill="1" applyBorder="1" applyAlignment="1">
      <alignment horizontal="right" vertical="center"/>
    </xf>
    <xf numFmtId="185" fontId="22" fillId="7" borderId="8" xfId="4" applyNumberFormat="1" applyFont="1" applyFill="1" applyBorder="1" applyAlignment="1">
      <alignment horizontal="right" vertical="center"/>
    </xf>
    <xf numFmtId="185" fontId="22" fillId="7" borderId="53" xfId="4" applyNumberFormat="1" applyFont="1" applyFill="1" applyBorder="1" applyAlignment="1">
      <alignment horizontal="right" vertical="center"/>
    </xf>
    <xf numFmtId="185" fontId="20" fillId="7" borderId="8" xfId="4" applyNumberFormat="1" applyFont="1" applyFill="1" applyBorder="1" applyAlignment="1">
      <alignment horizontal="right" vertical="center"/>
    </xf>
    <xf numFmtId="0" fontId="27" fillId="7" borderId="0" xfId="8" applyFont="1" applyFill="1" applyBorder="1" applyAlignment="1" applyProtection="1">
      <alignment horizontal="right" vertical="center"/>
    </xf>
    <xf numFmtId="0" fontId="47" fillId="0" borderId="0" xfId="0" applyFont="1" applyBorder="1" applyAlignment="1">
      <alignment horizontal="center"/>
    </xf>
    <xf numFmtId="185" fontId="22" fillId="4" borderId="8" xfId="0" applyNumberFormat="1" applyFont="1" applyFill="1" applyBorder="1" applyAlignment="1">
      <alignment vertical="center"/>
    </xf>
    <xf numFmtId="185" fontId="22" fillId="7" borderId="8" xfId="0" applyNumberFormat="1" applyFont="1" applyFill="1" applyBorder="1" applyAlignment="1">
      <alignment vertical="center"/>
    </xf>
    <xf numFmtId="185" fontId="25" fillId="4" borderId="67" xfId="4" applyNumberFormat="1" applyFont="1" applyFill="1" applyBorder="1" applyAlignment="1">
      <alignment horizontal="right" vertical="center"/>
    </xf>
    <xf numFmtId="185" fontId="22" fillId="4" borderId="67" xfId="4" applyNumberFormat="1" applyFont="1" applyFill="1" applyBorder="1" applyAlignment="1">
      <alignment horizontal="right" vertical="center"/>
    </xf>
    <xf numFmtId="185" fontId="20" fillId="4" borderId="67" xfId="4" applyNumberFormat="1" applyFont="1" applyFill="1" applyBorder="1" applyAlignment="1">
      <alignment horizontal="right" vertical="center"/>
    </xf>
    <xf numFmtId="185" fontId="22" fillId="4" borderId="67" xfId="0" applyNumberFormat="1" applyFont="1" applyFill="1" applyBorder="1" applyAlignment="1">
      <alignment vertical="center"/>
    </xf>
    <xf numFmtId="185" fontId="20" fillId="4" borderId="67" xfId="0" applyNumberFormat="1" applyFont="1" applyFill="1" applyBorder="1" applyAlignment="1">
      <alignment horizontal="right" vertical="center"/>
    </xf>
    <xf numFmtId="185" fontId="20" fillId="4" borderId="3" xfId="4" applyNumberFormat="1" applyFont="1" applyFill="1" applyBorder="1" applyAlignment="1">
      <alignment horizontal="right" vertical="center"/>
    </xf>
    <xf numFmtId="171" fontId="20" fillId="7" borderId="8" xfId="0" applyNumberFormat="1" applyFont="1" applyFill="1" applyBorder="1" applyAlignment="1">
      <alignment horizontal="right" vertical="center"/>
    </xf>
    <xf numFmtId="170" fontId="22" fillId="7" borderId="8" xfId="0" applyNumberFormat="1" applyFont="1" applyFill="1" applyBorder="1" applyAlignment="1">
      <alignment horizontal="right" vertical="center"/>
    </xf>
    <xf numFmtId="187" fontId="20" fillId="4" borderId="0" xfId="0" applyNumberFormat="1" applyFont="1" applyFill="1" applyBorder="1" applyAlignment="1">
      <alignment horizontal="right" vertical="center"/>
    </xf>
    <xf numFmtId="170" fontId="22" fillId="4" borderId="0" xfId="0" applyNumberFormat="1" applyFont="1" applyFill="1" applyBorder="1" applyAlignment="1">
      <alignment horizontal="right" vertical="center"/>
    </xf>
    <xf numFmtId="0" fontId="47" fillId="4" borderId="68" xfId="0" applyFont="1" applyFill="1" applyBorder="1" applyAlignment="1">
      <alignment horizontal="center" vertical="center"/>
    </xf>
    <xf numFmtId="0" fontId="25" fillId="0" borderId="6" xfId="0" applyFont="1" applyBorder="1" applyAlignment="1">
      <alignment vertical="center"/>
    </xf>
    <xf numFmtId="0" fontId="19" fillId="0" borderId="6" xfId="0" applyFont="1" applyBorder="1" applyAlignment="1">
      <alignment vertical="center"/>
    </xf>
    <xf numFmtId="0" fontId="20" fillId="0" borderId="6" xfId="0" applyFont="1" applyBorder="1" applyAlignment="1">
      <alignment horizontal="right" vertical="center"/>
    </xf>
    <xf numFmtId="0" fontId="0" fillId="0" borderId="0" xfId="0" applyBorder="1" applyAlignment="1">
      <alignment horizontal="left" vertical="center"/>
    </xf>
    <xf numFmtId="185" fontId="19" fillId="7" borderId="8" xfId="0" applyNumberFormat="1" applyFont="1" applyFill="1" applyBorder="1" applyAlignment="1">
      <alignment horizontal="right" vertical="center"/>
    </xf>
    <xf numFmtId="185" fontId="19" fillId="4" borderId="8" xfId="0" applyNumberFormat="1" applyFont="1" applyFill="1" applyBorder="1" applyAlignment="1">
      <alignment horizontal="right" vertical="center"/>
    </xf>
    <xf numFmtId="185" fontId="19" fillId="7" borderId="92" xfId="0" applyNumberFormat="1" applyFont="1" applyFill="1" applyBorder="1" applyAlignment="1">
      <alignment horizontal="right" vertical="center"/>
    </xf>
    <xf numFmtId="170" fontId="19" fillId="7" borderId="92" xfId="0" applyNumberFormat="1" applyFont="1" applyFill="1" applyBorder="1" applyAlignment="1">
      <alignment horizontal="right" vertical="center"/>
    </xf>
    <xf numFmtId="170" fontId="19" fillId="7" borderId="93" xfId="0" applyNumberFormat="1" applyFont="1" applyFill="1" applyBorder="1" applyAlignment="1">
      <alignment horizontal="right" vertical="center"/>
    </xf>
    <xf numFmtId="0" fontId="0" fillId="7" borderId="0" xfId="0" applyFill="1" applyBorder="1" applyAlignment="1">
      <alignment vertical="center"/>
    </xf>
    <xf numFmtId="185" fontId="19" fillId="7" borderId="53" xfId="0" applyNumberFormat="1" applyFont="1" applyFill="1" applyBorder="1" applyAlignment="1">
      <alignment horizontal="right" vertical="center"/>
    </xf>
    <xf numFmtId="185" fontId="19" fillId="7" borderId="67" xfId="0" applyNumberFormat="1" applyFont="1" applyFill="1" applyBorder="1" applyAlignment="1">
      <alignment horizontal="right" vertical="center"/>
    </xf>
    <xf numFmtId="170" fontId="19" fillId="7" borderId="9" xfId="0" applyNumberFormat="1" applyFont="1" applyFill="1" applyBorder="1" applyAlignment="1">
      <alignment horizontal="right" vertical="center"/>
    </xf>
    <xf numFmtId="0" fontId="47" fillId="4" borderId="7" xfId="0" applyFont="1" applyFill="1" applyBorder="1" applyAlignment="1">
      <alignment horizontal="center" vertical="center"/>
    </xf>
    <xf numFmtId="0" fontId="0" fillId="0" borderId="62" xfId="0" applyBorder="1"/>
    <xf numFmtId="0" fontId="21" fillId="7" borderId="7" xfId="0" applyFont="1" applyFill="1" applyBorder="1" applyAlignment="1">
      <alignment vertical="center"/>
    </xf>
    <xf numFmtId="0" fontId="19" fillId="4" borderId="101" xfId="8" applyFont="1" applyFill="1" applyBorder="1" applyAlignment="1" applyProtection="1">
      <alignment vertical="center"/>
    </xf>
    <xf numFmtId="0" fontId="21" fillId="7" borderId="85" xfId="0" applyFont="1" applyFill="1" applyBorder="1" applyAlignment="1">
      <alignment vertical="center"/>
    </xf>
    <xf numFmtId="0" fontId="64" fillId="0" borderId="0" xfId="0" applyFont="1" applyBorder="1" applyAlignment="1">
      <alignment horizontal="center" vertical="center" textRotation="90"/>
    </xf>
    <xf numFmtId="185" fontId="19" fillId="4" borderId="0" xfId="0" applyNumberFormat="1" applyFont="1" applyFill="1" applyBorder="1" applyAlignment="1">
      <alignment vertical="center"/>
    </xf>
    <xf numFmtId="173" fontId="20" fillId="4" borderId="8" xfId="0" applyNumberFormat="1" applyFont="1" applyFill="1" applyBorder="1" applyAlignment="1">
      <alignment horizontal="right" vertical="center"/>
    </xf>
    <xf numFmtId="0" fontId="19" fillId="4" borderId="3" xfId="8" applyFont="1" applyFill="1" applyBorder="1" applyAlignment="1" applyProtection="1">
      <alignment vertical="center"/>
    </xf>
    <xf numFmtId="173" fontId="26" fillId="4" borderId="8" xfId="0" applyNumberFormat="1" applyFont="1" applyFill="1" applyBorder="1" applyAlignment="1">
      <alignment horizontal="right" vertical="center"/>
    </xf>
    <xf numFmtId="0" fontId="29" fillId="7" borderId="6" xfId="8" applyFont="1" applyFill="1" applyBorder="1" applyAlignment="1" applyProtection="1">
      <alignment horizontal="right" vertical="center"/>
    </xf>
    <xf numFmtId="0" fontId="19" fillId="7" borderId="85" xfId="8" applyFont="1" applyFill="1" applyBorder="1" applyAlignment="1" applyProtection="1">
      <alignment vertical="center"/>
    </xf>
    <xf numFmtId="0" fontId="0" fillId="7" borderId="62" xfId="0" applyFill="1" applyBorder="1" applyAlignment="1">
      <alignment vertical="center"/>
    </xf>
    <xf numFmtId="2" fontId="35" fillId="7" borderId="104" xfId="0" applyNumberFormat="1" applyFont="1" applyFill="1" applyBorder="1" applyAlignment="1">
      <alignment horizontal="center" vertical="center"/>
    </xf>
    <xf numFmtId="2" fontId="35" fillId="7" borderId="98" xfId="0" applyNumberFormat="1" applyFont="1" applyFill="1" applyBorder="1" applyAlignment="1">
      <alignment horizontal="center" vertical="center"/>
    </xf>
    <xf numFmtId="2" fontId="35" fillId="7" borderId="97" xfId="0" applyNumberFormat="1" applyFont="1" applyFill="1" applyBorder="1" applyAlignment="1">
      <alignment horizontal="center" vertical="center"/>
    </xf>
    <xf numFmtId="2" fontId="35" fillId="7" borderId="106" xfId="0" applyNumberFormat="1" applyFont="1" applyFill="1" applyBorder="1" applyAlignment="1">
      <alignment horizontal="center" vertical="center"/>
    </xf>
    <xf numFmtId="2" fontId="35" fillId="7" borderId="107" xfId="0" applyNumberFormat="1" applyFont="1" applyFill="1" applyBorder="1" applyAlignment="1">
      <alignment horizontal="center" vertical="center"/>
    </xf>
    <xf numFmtId="3" fontId="35" fillId="7" borderId="8" xfId="0" applyNumberFormat="1" applyFont="1" applyFill="1" applyBorder="1" applyAlignment="1">
      <alignment horizontal="center" vertical="center"/>
    </xf>
    <xf numFmtId="3" fontId="35" fillId="7" borderId="67" xfId="0" applyNumberFormat="1" applyFont="1" applyFill="1" applyBorder="1" applyAlignment="1">
      <alignment horizontal="center" vertical="center"/>
    </xf>
    <xf numFmtId="3" fontId="35" fillId="7" borderId="10" xfId="0" applyNumberFormat="1" applyFont="1" applyFill="1" applyBorder="1" applyAlignment="1">
      <alignment horizontal="center" vertical="center"/>
    </xf>
    <xf numFmtId="3" fontId="35" fillId="7" borderId="0" xfId="0" applyNumberFormat="1" applyFont="1" applyFill="1" applyBorder="1" applyAlignment="1">
      <alignment horizontal="center" vertical="center"/>
    </xf>
    <xf numFmtId="3" fontId="35" fillId="7" borderId="68" xfId="0" applyNumberFormat="1" applyFont="1" applyFill="1" applyBorder="1" applyAlignment="1">
      <alignment horizontal="center" vertical="center"/>
    </xf>
    <xf numFmtId="0" fontId="47" fillId="4" borderId="69" xfId="0" applyFont="1" applyFill="1" applyBorder="1" applyAlignment="1">
      <alignment horizontal="center" vertical="center"/>
    </xf>
    <xf numFmtId="0" fontId="47" fillId="4" borderId="108" xfId="0" applyFont="1" applyFill="1" applyBorder="1" applyAlignment="1">
      <alignment horizontal="center" vertical="center"/>
    </xf>
    <xf numFmtId="0" fontId="79" fillId="4" borderId="3" xfId="0" applyFont="1" applyFill="1" applyBorder="1" applyAlignment="1">
      <alignment horizontal="center" vertical="center"/>
    </xf>
    <xf numFmtId="0" fontId="64" fillId="0" borderId="30" xfId="0" applyFont="1" applyBorder="1" applyAlignment="1">
      <alignment horizontal="center" vertical="center" textRotation="90"/>
    </xf>
    <xf numFmtId="0" fontId="47" fillId="0" borderId="68" xfId="0" applyFont="1" applyBorder="1" applyAlignment="1">
      <alignment horizontal="center" vertical="center"/>
    </xf>
    <xf numFmtId="0" fontId="47" fillId="0" borderId="108" xfId="0" applyFont="1" applyBorder="1" applyAlignment="1">
      <alignment horizontal="center" vertical="center"/>
    </xf>
    <xf numFmtId="0" fontId="47" fillId="4" borderId="62" xfId="0" applyFont="1" applyFill="1" applyBorder="1" applyAlignment="1">
      <alignment horizontal="center" vertical="center"/>
    </xf>
    <xf numFmtId="0" fontId="47" fillId="0" borderId="101" xfId="0" applyFont="1" applyBorder="1" applyAlignment="1">
      <alignment horizontal="center" vertical="center"/>
    </xf>
    <xf numFmtId="0" fontId="47" fillId="4" borderId="21" xfId="0" applyFont="1" applyFill="1" applyBorder="1" applyAlignment="1">
      <alignment horizontal="center" vertical="center"/>
    </xf>
    <xf numFmtId="0" fontId="25" fillId="0" borderId="22" xfId="0" applyFont="1" applyBorder="1" applyAlignment="1">
      <alignment vertical="center"/>
    </xf>
    <xf numFmtId="0" fontId="19" fillId="0" borderId="22" xfId="0" applyFont="1" applyBorder="1" applyAlignment="1">
      <alignment vertical="center"/>
    </xf>
    <xf numFmtId="0" fontId="20" fillId="0" borderId="22" xfId="0" applyFont="1" applyBorder="1" applyAlignment="1">
      <alignment horizontal="right" vertical="center"/>
    </xf>
    <xf numFmtId="185" fontId="26" fillId="4" borderId="55" xfId="0" applyNumberFormat="1" applyFont="1" applyFill="1" applyBorder="1" applyAlignment="1">
      <alignment horizontal="right" vertical="center"/>
    </xf>
    <xf numFmtId="185" fontId="26" fillId="7" borderId="55" xfId="0" applyNumberFormat="1" applyFont="1" applyFill="1" applyBorder="1" applyAlignment="1">
      <alignment horizontal="right" vertical="center"/>
    </xf>
    <xf numFmtId="185" fontId="26" fillId="4" borderId="109" xfId="0" applyNumberFormat="1" applyFont="1" applyFill="1" applyBorder="1" applyAlignment="1">
      <alignment horizontal="right" vertical="center"/>
    </xf>
    <xf numFmtId="185" fontId="19" fillId="7" borderId="8" xfId="4" applyNumberFormat="1" applyFont="1" applyFill="1" applyBorder="1" applyAlignment="1">
      <alignment horizontal="right" vertical="center"/>
    </xf>
    <xf numFmtId="185" fontId="19" fillId="4" borderId="8" xfId="4" applyNumberFormat="1" applyFont="1" applyFill="1" applyBorder="1" applyAlignment="1">
      <alignment horizontal="right" vertical="center"/>
    </xf>
    <xf numFmtId="185" fontId="19" fillId="4" borderId="67" xfId="4" applyNumberFormat="1" applyFont="1" applyFill="1" applyBorder="1" applyAlignment="1">
      <alignment horizontal="right" vertical="center"/>
    </xf>
    <xf numFmtId="0" fontId="0" fillId="7" borderId="7" xfId="0" applyFill="1" applyBorder="1" applyAlignment="1">
      <alignment vertical="center"/>
    </xf>
    <xf numFmtId="0" fontId="29" fillId="7" borderId="30" xfId="0" applyFont="1" applyFill="1" applyBorder="1" applyAlignment="1">
      <alignment horizontal="right" vertical="center"/>
    </xf>
    <xf numFmtId="0" fontId="20" fillId="7" borderId="0" xfId="0" applyFont="1" applyFill="1" applyBorder="1" applyAlignment="1">
      <alignment vertical="center"/>
    </xf>
    <xf numFmtId="0" fontId="0" fillId="0" borderId="0" xfId="0" applyBorder="1" applyAlignment="1">
      <alignment horizontal="center" textRotation="90"/>
    </xf>
    <xf numFmtId="0" fontId="19" fillId="7" borderId="110" xfId="0" applyFont="1" applyFill="1" applyBorder="1" applyAlignment="1">
      <alignment vertical="center"/>
    </xf>
    <xf numFmtId="0" fontId="47" fillId="0" borderId="104" xfId="0" applyFont="1" applyBorder="1" applyAlignment="1">
      <alignment horizontal="center" vertical="center"/>
    </xf>
    <xf numFmtId="0" fontId="47" fillId="0" borderId="74" xfId="0" applyFont="1" applyBorder="1" applyAlignment="1">
      <alignment horizontal="center" vertical="center"/>
    </xf>
    <xf numFmtId="0" fontId="29" fillId="0" borderId="0" xfId="8" applyFont="1" applyFill="1" applyBorder="1" applyAlignment="1" applyProtection="1">
      <alignment horizontal="right" vertical="center"/>
    </xf>
    <xf numFmtId="0" fontId="47" fillId="4" borderId="111" xfId="0" applyFont="1" applyFill="1" applyBorder="1" applyAlignment="1">
      <alignment horizontal="center" vertical="center"/>
    </xf>
    <xf numFmtId="0" fontId="47" fillId="0" borderId="69" xfId="0" applyFont="1" applyBorder="1" applyAlignment="1">
      <alignment horizontal="center" vertical="center"/>
    </xf>
    <xf numFmtId="0" fontId="47" fillId="0" borderId="111" xfId="0" applyFont="1" applyBorder="1" applyAlignment="1">
      <alignment horizontal="center" vertical="center"/>
    </xf>
    <xf numFmtId="170" fontId="19" fillId="7" borderId="112" xfId="0" applyNumberFormat="1" applyFont="1" applyFill="1" applyBorder="1" applyAlignment="1">
      <alignment horizontal="right" vertical="center"/>
    </xf>
    <xf numFmtId="49" fontId="19" fillId="7" borderId="0" xfId="8" applyNumberFormat="1" applyFont="1" applyFill="1" applyBorder="1" applyAlignment="1" applyProtection="1">
      <alignment vertical="center"/>
    </xf>
    <xf numFmtId="0" fontId="19" fillId="7" borderId="0" xfId="8" applyFont="1" applyFill="1" applyBorder="1" applyAlignment="1" applyProtection="1">
      <alignment horizontal="right" vertical="center"/>
    </xf>
    <xf numFmtId="196" fontId="22" fillId="7" borderId="53" xfId="0" applyNumberFormat="1" applyFont="1" applyFill="1" applyBorder="1" applyAlignment="1">
      <alignment horizontal="right" vertical="center"/>
    </xf>
    <xf numFmtId="0" fontId="0" fillId="7" borderId="6" xfId="0" applyFill="1" applyBorder="1" applyAlignment="1">
      <alignment vertical="center"/>
    </xf>
    <xf numFmtId="0" fontId="29" fillId="7" borderId="113" xfId="8" applyFont="1" applyFill="1" applyBorder="1" applyAlignment="1" applyProtection="1">
      <alignment horizontal="right" vertical="center"/>
    </xf>
    <xf numFmtId="202" fontId="29" fillId="0" borderId="0" xfId="8" applyNumberFormat="1" applyFont="1" applyBorder="1" applyAlignment="1" applyProtection="1">
      <alignment horizontal="right" vertical="center"/>
    </xf>
    <xf numFmtId="0" fontId="31" fillId="0" borderId="0" xfId="0" applyFont="1"/>
    <xf numFmtId="0" fontId="20" fillId="0" borderId="3" xfId="0" applyFont="1" applyBorder="1"/>
    <xf numFmtId="0" fontId="20" fillId="0" borderId="0" xfId="0" applyFont="1" applyBorder="1"/>
    <xf numFmtId="0" fontId="20" fillId="0" borderId="114" xfId="0" applyFont="1" applyBorder="1" applyAlignment="1">
      <alignment horizontal="center"/>
    </xf>
    <xf numFmtId="0" fontId="22" fillId="0" borderId="7" xfId="0" applyFont="1" applyBorder="1" applyAlignment="1"/>
    <xf numFmtId="0" fontId="20" fillId="0" borderId="115" xfId="0" applyFont="1" applyBorder="1" applyAlignment="1">
      <alignment horizontal="center"/>
    </xf>
    <xf numFmtId="0" fontId="22" fillId="0" borderId="0" xfId="0" applyFont="1" applyBorder="1" applyAlignment="1"/>
    <xf numFmtId="0" fontId="22" fillId="0" borderId="117" xfId="0" applyFont="1" applyBorder="1" applyAlignment="1">
      <alignment horizontal="center"/>
    </xf>
    <xf numFmtId="2" fontId="22" fillId="0" borderId="117" xfId="0" applyNumberFormat="1" applyFont="1" applyBorder="1" applyAlignment="1">
      <alignment horizontal="center"/>
    </xf>
    <xf numFmtId="49" fontId="22" fillId="0" borderId="117" xfId="0" applyNumberFormat="1" applyFont="1" applyBorder="1" applyAlignment="1">
      <alignment horizontal="center"/>
    </xf>
    <xf numFmtId="204" fontId="20" fillId="0" borderId="114" xfId="0" applyNumberFormat="1" applyFont="1" applyBorder="1" applyAlignment="1">
      <alignment horizontal="center"/>
    </xf>
    <xf numFmtId="0" fontId="22" fillId="0" borderId="117" xfId="0" applyFont="1" applyBorder="1" applyAlignment="1">
      <alignment horizontal="left"/>
    </xf>
    <xf numFmtId="203" fontId="20" fillId="0" borderId="114" xfId="0" applyNumberFormat="1" applyFont="1" applyBorder="1" applyAlignment="1">
      <alignment horizontal="center"/>
    </xf>
    <xf numFmtId="49" fontId="20" fillId="0" borderId="114" xfId="0" applyNumberFormat="1" applyFont="1" applyBorder="1" applyAlignment="1">
      <alignment horizontal="center"/>
    </xf>
    <xf numFmtId="0" fontId="22" fillId="0" borderId="117" xfId="0" applyFont="1" applyBorder="1" applyAlignment="1"/>
    <xf numFmtId="2" fontId="22" fillId="0" borderId="115" xfId="0" applyNumberFormat="1" applyFont="1" applyBorder="1" applyAlignment="1">
      <alignment horizontal="center"/>
    </xf>
    <xf numFmtId="0" fontId="22" fillId="0" borderId="115" xfId="0" applyFont="1" applyBorder="1" applyAlignment="1"/>
    <xf numFmtId="49" fontId="20" fillId="0" borderId="118" xfId="0" applyNumberFormat="1" applyFont="1" applyBorder="1" applyAlignment="1">
      <alignment horizontal="center"/>
    </xf>
    <xf numFmtId="170" fontId="29" fillId="7" borderId="24" xfId="6" applyNumberFormat="1" applyFont="1" applyFill="1" applyBorder="1" applyAlignment="1" applyProtection="1">
      <alignment vertical="center"/>
    </xf>
    <xf numFmtId="0" fontId="20" fillId="0" borderId="83" xfId="0" applyFont="1" applyBorder="1" applyAlignment="1" applyProtection="1">
      <alignment vertical="center"/>
    </xf>
    <xf numFmtId="0" fontId="33" fillId="0" borderId="63" xfId="0" applyFont="1" applyBorder="1" applyAlignment="1" applyProtection="1">
      <alignment vertical="center"/>
    </xf>
    <xf numFmtId="0" fontId="33" fillId="0" borderId="65" xfId="0" applyFont="1" applyBorder="1" applyAlignment="1" applyProtection="1">
      <alignment vertical="center"/>
    </xf>
    <xf numFmtId="0" fontId="29" fillId="3" borderId="63" xfId="0" applyFont="1" applyFill="1" applyBorder="1" applyAlignment="1" applyProtection="1">
      <alignment vertical="center"/>
      <protection locked="0"/>
    </xf>
    <xf numFmtId="0" fontId="29" fillId="3" borderId="72" xfId="0" applyFont="1" applyFill="1" applyBorder="1" applyAlignment="1" applyProtection="1">
      <alignment vertical="center"/>
      <protection locked="0"/>
    </xf>
    <xf numFmtId="0" fontId="15" fillId="0" borderId="72" xfId="0" applyFont="1" applyBorder="1" applyAlignment="1" applyProtection="1">
      <alignment vertical="center"/>
    </xf>
    <xf numFmtId="0" fontId="29" fillId="0" borderId="63" xfId="0" applyFont="1" applyBorder="1" applyAlignment="1" applyProtection="1">
      <alignment vertical="center"/>
    </xf>
    <xf numFmtId="0" fontId="20" fillId="0" borderId="119" xfId="0" applyFont="1" applyBorder="1" applyAlignment="1" applyProtection="1">
      <alignment vertical="center"/>
    </xf>
    <xf numFmtId="0" fontId="31" fillId="0" borderId="120" xfId="0" applyFont="1" applyBorder="1" applyAlignment="1" applyProtection="1">
      <alignment vertical="center"/>
    </xf>
    <xf numFmtId="0" fontId="0" fillId="0" borderId="72" xfId="0" applyBorder="1" applyAlignment="1" applyProtection="1">
      <alignment vertical="center"/>
    </xf>
    <xf numFmtId="0" fontId="37" fillId="0" borderId="0" xfId="0" applyFont="1" applyAlignment="1" applyProtection="1">
      <alignment horizontal="left" vertical="center"/>
    </xf>
    <xf numFmtId="1" fontId="22" fillId="0" borderId="117" xfId="0" applyNumberFormat="1" applyFont="1" applyBorder="1" applyAlignment="1">
      <alignment horizontal="center"/>
    </xf>
    <xf numFmtId="0" fontId="22" fillId="0" borderId="106" xfId="0" applyFont="1" applyBorder="1" applyAlignment="1">
      <alignment horizontal="center" wrapText="1"/>
    </xf>
    <xf numFmtId="2" fontId="22" fillId="0" borderId="52" xfId="0" applyNumberFormat="1" applyFont="1" applyBorder="1" applyAlignment="1">
      <alignment horizontal="center"/>
    </xf>
    <xf numFmtId="2" fontId="22" fillId="0" borderId="73" xfId="0" applyNumberFormat="1" applyFont="1" applyBorder="1" applyAlignment="1">
      <alignment horizontal="center"/>
    </xf>
    <xf numFmtId="0" fontId="29" fillId="4" borderId="10" xfId="0" applyFont="1" applyFill="1" applyBorder="1" applyAlignment="1" applyProtection="1">
      <alignment vertical="center"/>
      <protection locked="0"/>
    </xf>
    <xf numFmtId="0" fontId="29" fillId="4" borderId="0" xfId="0" applyFont="1" applyFill="1" applyBorder="1" applyAlignment="1" applyProtection="1">
      <alignment vertical="center"/>
      <protection locked="0"/>
    </xf>
    <xf numFmtId="0" fontId="44" fillId="0" borderId="0" xfId="0" applyFont="1" applyBorder="1" applyAlignment="1">
      <alignment vertical="center"/>
    </xf>
    <xf numFmtId="4" fontId="22" fillId="3" borderId="56" xfId="0" applyNumberFormat="1" applyFont="1" applyFill="1" applyBorder="1" applyAlignment="1" applyProtection="1">
      <alignment vertical="center"/>
      <protection locked="0"/>
    </xf>
    <xf numFmtId="4" fontId="22" fillId="4" borderId="8" xfId="0" applyNumberFormat="1" applyFont="1" applyFill="1" applyBorder="1" applyAlignment="1" applyProtection="1">
      <alignment horizontal="right" vertical="center"/>
    </xf>
    <xf numFmtId="4" fontId="22" fillId="4" borderId="87" xfId="0" applyNumberFormat="1" applyFont="1" applyFill="1" applyBorder="1" applyAlignment="1" applyProtection="1">
      <alignment vertical="center"/>
    </xf>
    <xf numFmtId="0" fontId="23" fillId="0" borderId="0" xfId="0" applyFont="1" applyAlignment="1" applyProtection="1">
      <alignment horizontal="left" vertical="center"/>
    </xf>
    <xf numFmtId="0" fontId="30" fillId="0" borderId="52" xfId="0" applyFont="1" applyBorder="1" applyAlignment="1" applyProtection="1">
      <alignment horizontal="center" vertical="center"/>
    </xf>
    <xf numFmtId="0" fontId="82" fillId="0" borderId="52" xfId="0" applyFont="1" applyBorder="1" applyAlignment="1" applyProtection="1">
      <alignment horizontal="center" vertical="center"/>
    </xf>
    <xf numFmtId="0" fontId="0" fillId="0" borderId="53" xfId="0" applyBorder="1" applyAlignment="1" applyProtection="1">
      <alignment vertical="center"/>
    </xf>
    <xf numFmtId="0" fontId="83" fillId="0" borderId="9" xfId="0" applyFont="1" applyBorder="1" applyAlignment="1" applyProtection="1">
      <alignment horizontal="left" vertical="center"/>
    </xf>
    <xf numFmtId="0" fontId="84" fillId="0" borderId="8" xfId="0" applyFont="1" applyBorder="1" applyAlignment="1" applyProtection="1">
      <alignment vertical="center"/>
    </xf>
    <xf numFmtId="4" fontId="22" fillId="5" borderId="18" xfId="0" applyNumberFormat="1" applyFont="1" applyFill="1" applyBorder="1" applyAlignment="1" applyProtection="1">
      <alignment horizontal="center" vertical="center"/>
      <protection locked="0"/>
    </xf>
    <xf numFmtId="4" fontId="22" fillId="5" borderId="19" xfId="0" applyNumberFormat="1" applyFont="1" applyFill="1" applyBorder="1" applyAlignment="1" applyProtection="1">
      <alignment horizontal="center" vertical="center"/>
      <protection locked="0"/>
    </xf>
    <xf numFmtId="182" fontId="29" fillId="4" borderId="20" xfId="8" applyNumberFormat="1" applyFont="1" applyFill="1" applyBorder="1" applyAlignment="1" applyProtection="1">
      <alignment horizontal="right" vertical="center"/>
    </xf>
    <xf numFmtId="171" fontId="33" fillId="4" borderId="42" xfId="8" applyNumberFormat="1" applyFont="1" applyFill="1" applyBorder="1" applyAlignment="1" applyProtection="1">
      <alignment horizontal="right" vertical="center"/>
    </xf>
    <xf numFmtId="0" fontId="66" fillId="0" borderId="52" xfId="0" applyFont="1" applyBorder="1" applyAlignment="1" applyProtection="1">
      <alignment horizontal="center" vertical="center"/>
    </xf>
    <xf numFmtId="171" fontId="33" fillId="4" borderId="48" xfId="8" applyNumberFormat="1" applyFont="1" applyFill="1" applyBorder="1" applyAlignment="1" applyProtection="1">
      <alignment horizontal="center" vertical="center"/>
    </xf>
    <xf numFmtId="170" fontId="29" fillId="2" borderId="10" xfId="0" applyNumberFormat="1" applyFont="1" applyFill="1" applyBorder="1" applyAlignment="1" applyProtection="1">
      <alignment horizontal="right" vertical="center"/>
    </xf>
    <xf numFmtId="49" fontId="22" fillId="0" borderId="0" xfId="0" applyNumberFormat="1" applyFont="1" applyBorder="1" applyAlignment="1">
      <alignment vertical="center"/>
    </xf>
    <xf numFmtId="49" fontId="22" fillId="0" borderId="7" xfId="8" applyNumberFormat="1" applyFont="1" applyBorder="1" applyAlignment="1" applyProtection="1">
      <alignment vertical="center"/>
    </xf>
    <xf numFmtId="9" fontId="29" fillId="0" borderId="7" xfId="8" applyNumberFormat="1" applyFont="1" applyBorder="1" applyAlignment="1" applyProtection="1">
      <alignment horizontal="right" vertical="center"/>
    </xf>
    <xf numFmtId="170" fontId="26" fillId="4" borderId="53" xfId="0" applyNumberFormat="1" applyFont="1" applyFill="1" applyBorder="1" applyAlignment="1">
      <alignment horizontal="right" vertical="center"/>
    </xf>
    <xf numFmtId="170" fontId="26" fillId="7" borderId="53" xfId="0" applyNumberFormat="1" applyFont="1" applyFill="1" applyBorder="1" applyAlignment="1">
      <alignment horizontal="right" vertical="center"/>
    </xf>
    <xf numFmtId="170" fontId="26" fillId="4" borderId="71" xfId="0" applyNumberFormat="1" applyFont="1" applyFill="1" applyBorder="1" applyAlignment="1">
      <alignment horizontal="right" vertical="center"/>
    </xf>
    <xf numFmtId="0" fontId="47" fillId="0" borderId="3" xfId="0" applyFont="1" applyBorder="1" applyAlignment="1">
      <alignment horizontal="center"/>
    </xf>
    <xf numFmtId="185" fontId="19" fillId="4" borderId="3" xfId="0" applyNumberFormat="1" applyFont="1" applyFill="1" applyBorder="1" applyAlignment="1">
      <alignment horizontal="right" vertical="center"/>
    </xf>
    <xf numFmtId="0" fontId="50" fillId="0" borderId="0" xfId="8" applyFont="1" applyBorder="1" applyAlignment="1" applyProtection="1">
      <alignment vertical="center"/>
    </xf>
    <xf numFmtId="0" fontId="40" fillId="0" borderId="0" xfId="0" applyFont="1" applyBorder="1"/>
    <xf numFmtId="173" fontId="22" fillId="0" borderId="0" xfId="0" applyNumberFormat="1" applyFont="1" applyBorder="1" applyAlignment="1">
      <alignment horizontal="right" vertical="center"/>
    </xf>
    <xf numFmtId="173" fontId="22" fillId="2" borderId="0" xfId="0" applyNumberFormat="1" applyFont="1" applyFill="1" applyBorder="1" applyAlignment="1">
      <alignment horizontal="right" vertical="center"/>
    </xf>
    <xf numFmtId="0" fontId="40" fillId="0" borderId="0" xfId="0" applyFont="1" applyAlignment="1">
      <alignment vertical="center"/>
    </xf>
    <xf numFmtId="0" fontId="19" fillId="7" borderId="7" xfId="8" applyFont="1" applyFill="1" applyBorder="1" applyAlignment="1" applyProtection="1">
      <alignment vertical="center"/>
    </xf>
    <xf numFmtId="0" fontId="47" fillId="0" borderId="95" xfId="0" applyFont="1" applyBorder="1" applyAlignment="1">
      <alignment horizontal="center" vertical="center"/>
    </xf>
    <xf numFmtId="185" fontId="19" fillId="7" borderId="94" xfId="0" applyNumberFormat="1" applyFont="1" applyFill="1" applyBorder="1" applyAlignment="1">
      <alignment horizontal="right" vertical="center"/>
    </xf>
    <xf numFmtId="0" fontId="47" fillId="0" borderId="0" xfId="0" applyFont="1" applyBorder="1" applyAlignment="1">
      <alignment horizontal="center" vertical="center"/>
    </xf>
    <xf numFmtId="0" fontId="25" fillId="7" borderId="62" xfId="8" applyFont="1" applyFill="1" applyBorder="1" applyAlignment="1" applyProtection="1">
      <alignment vertical="center"/>
    </xf>
    <xf numFmtId="185" fontId="19" fillId="7" borderId="126" xfId="0" applyNumberFormat="1" applyFont="1" applyFill="1" applyBorder="1" applyAlignment="1">
      <alignment horizontal="right" vertical="center"/>
    </xf>
    <xf numFmtId="0" fontId="29" fillId="0" borderId="85" xfId="0" applyFont="1" applyBorder="1" applyAlignment="1">
      <alignment horizontal="right" vertical="center"/>
    </xf>
    <xf numFmtId="0" fontId="21" fillId="0" borderId="7" xfId="0" applyFont="1" applyBorder="1" applyAlignment="1">
      <alignment vertical="center"/>
    </xf>
    <xf numFmtId="0" fontId="47" fillId="4" borderId="85" xfId="0" applyFont="1" applyFill="1" applyBorder="1" applyAlignment="1">
      <alignment horizontal="center" vertical="center"/>
    </xf>
    <xf numFmtId="0" fontId="19" fillId="4" borderId="85" xfId="8" applyFont="1" applyFill="1" applyBorder="1" applyAlignment="1" applyProtection="1">
      <alignment vertical="center"/>
    </xf>
    <xf numFmtId="0" fontId="19" fillId="4" borderId="0" xfId="8" applyFont="1" applyFill="1" applyBorder="1" applyAlignment="1" applyProtection="1">
      <alignment horizontal="right" vertical="center"/>
    </xf>
    <xf numFmtId="0" fontId="31" fillId="4" borderId="0" xfId="8" applyFont="1" applyFill="1" applyBorder="1" applyAlignment="1" applyProtection="1">
      <alignment horizontal="right" vertical="center"/>
    </xf>
    <xf numFmtId="2" fontId="19" fillId="4" borderId="0" xfId="0" applyNumberFormat="1" applyFont="1" applyFill="1" applyBorder="1" applyAlignment="1">
      <alignment horizontal="right" vertical="center"/>
    </xf>
    <xf numFmtId="2" fontId="19" fillId="7" borderId="0" xfId="0" applyNumberFormat="1" applyFont="1" applyFill="1" applyBorder="1" applyAlignment="1">
      <alignment horizontal="right" vertical="center"/>
    </xf>
    <xf numFmtId="0" fontId="19" fillId="7" borderId="110" xfId="8" applyFont="1" applyFill="1" applyBorder="1" applyAlignment="1" applyProtection="1">
      <alignment vertical="center"/>
    </xf>
    <xf numFmtId="0" fontId="0" fillId="7" borderId="85" xfId="0" applyFill="1" applyBorder="1" applyAlignment="1">
      <alignment vertical="center"/>
    </xf>
    <xf numFmtId="0" fontId="40" fillId="0" borderId="30" xfId="0" applyFont="1" applyBorder="1" applyAlignment="1">
      <alignment vertical="center"/>
    </xf>
    <xf numFmtId="0" fontId="50" fillId="0" borderId="30" xfId="8" applyFont="1" applyBorder="1" applyAlignment="1" applyProtection="1">
      <alignment vertical="center"/>
    </xf>
    <xf numFmtId="0" fontId="22" fillId="0" borderId="30" xfId="8" applyFont="1" applyBorder="1" applyAlignment="1" applyProtection="1">
      <alignment vertical="center"/>
    </xf>
    <xf numFmtId="0" fontId="29" fillId="0" borderId="30" xfId="8" applyFont="1" applyBorder="1" applyAlignment="1" applyProtection="1">
      <alignment horizontal="right" vertical="center"/>
    </xf>
    <xf numFmtId="0" fontId="19" fillId="7" borderId="100" xfId="8" applyFont="1" applyFill="1" applyBorder="1" applyAlignment="1" applyProtection="1">
      <alignment vertical="center"/>
    </xf>
    <xf numFmtId="0" fontId="0" fillId="0" borderId="0" xfId="0" applyBorder="1" applyAlignment="1">
      <alignment horizontal="center" vertical="center" textRotation="90"/>
    </xf>
    <xf numFmtId="185" fontId="22" fillId="4" borderId="8" xfId="0" applyNumberFormat="1" applyFont="1" applyFill="1" applyBorder="1" applyAlignment="1">
      <alignment horizontal="right" vertical="center"/>
    </xf>
    <xf numFmtId="185" fontId="22" fillId="4" borderId="67" xfId="0" applyNumberFormat="1" applyFont="1" applyFill="1" applyBorder="1" applyAlignment="1">
      <alignment horizontal="right" vertical="center"/>
    </xf>
    <xf numFmtId="0" fontId="0" fillId="0" borderId="0" xfId="0" applyFill="1" applyBorder="1" applyAlignment="1">
      <alignment vertical="center"/>
    </xf>
    <xf numFmtId="0" fontId="25" fillId="0" borderId="0" xfId="8" applyFont="1" applyFill="1" applyBorder="1" applyAlignment="1" applyProtection="1">
      <alignment vertical="center"/>
    </xf>
    <xf numFmtId="0" fontId="27" fillId="0" borderId="0" xfId="8" applyFont="1" applyFill="1" applyBorder="1" applyAlignment="1" applyProtection="1">
      <alignment horizontal="right" vertical="center"/>
    </xf>
    <xf numFmtId="0" fontId="47" fillId="0" borderId="0" xfId="8" applyFont="1" applyFill="1" applyBorder="1" applyAlignment="1" applyProtection="1">
      <alignment horizontal="center" vertical="center"/>
    </xf>
    <xf numFmtId="0" fontId="19" fillId="0" borderId="0" xfId="8" applyFont="1" applyFill="1" applyBorder="1" applyAlignment="1" applyProtection="1">
      <alignment vertical="center"/>
    </xf>
    <xf numFmtId="0" fontId="29" fillId="0" borderId="0" xfId="8" applyFont="1" applyFill="1" applyBorder="1" applyAlignment="1" applyProtection="1">
      <alignment vertical="center"/>
    </xf>
    <xf numFmtId="0" fontId="24" fillId="0" borderId="0" xfId="8" applyFont="1" applyFill="1" applyBorder="1" applyAlignment="1" applyProtection="1">
      <alignment vertical="center"/>
    </xf>
    <xf numFmtId="0" fontId="47" fillId="0" borderId="7" xfId="8" applyFont="1" applyFill="1" applyBorder="1" applyAlignment="1" applyProtection="1">
      <alignment horizontal="center" vertical="center"/>
    </xf>
    <xf numFmtId="0" fontId="29" fillId="0" borderId="7" xfId="8" applyFont="1" applyFill="1" applyBorder="1" applyAlignment="1" applyProtection="1">
      <alignment vertical="top"/>
    </xf>
    <xf numFmtId="0" fontId="24" fillId="0" borderId="7" xfId="8" applyFont="1" applyFill="1" applyBorder="1" applyAlignment="1" applyProtection="1">
      <alignment vertical="center"/>
    </xf>
    <xf numFmtId="0" fontId="27" fillId="0" borderId="7" xfId="8" applyFont="1" applyFill="1" applyBorder="1" applyAlignment="1" applyProtection="1">
      <alignment horizontal="right" vertical="center"/>
    </xf>
    <xf numFmtId="0" fontId="29" fillId="0" borderId="7" xfId="8" applyFont="1" applyFill="1" applyBorder="1" applyAlignment="1" applyProtection="1">
      <alignment horizontal="right" vertical="center"/>
    </xf>
    <xf numFmtId="0" fontId="50" fillId="7" borderId="0" xfId="0" applyFont="1" applyFill="1" applyBorder="1" applyAlignment="1">
      <alignment vertical="center"/>
    </xf>
    <xf numFmtId="0" fontId="43" fillId="7" borderId="0" xfId="0" applyFont="1" applyFill="1" applyBorder="1" applyAlignment="1">
      <alignment vertical="center"/>
    </xf>
    <xf numFmtId="0" fontId="19" fillId="0" borderId="7" xfId="8" applyFont="1" applyFill="1" applyBorder="1" applyAlignment="1" applyProtection="1">
      <alignment vertical="center"/>
    </xf>
    <xf numFmtId="0" fontId="0" fillId="0" borderId="7" xfId="0" applyFill="1" applyBorder="1" applyAlignment="1">
      <alignment vertical="center"/>
    </xf>
    <xf numFmtId="196" fontId="22" fillId="0" borderId="53" xfId="0" applyNumberFormat="1" applyFont="1" applyFill="1" applyBorder="1" applyAlignment="1">
      <alignment horizontal="right" vertical="center"/>
    </xf>
    <xf numFmtId="196" fontId="22" fillId="0" borderId="71" xfId="0" applyNumberFormat="1" applyFont="1" applyFill="1" applyBorder="1" applyAlignment="1">
      <alignment horizontal="right" vertical="center"/>
    </xf>
    <xf numFmtId="0" fontId="0" fillId="0" borderId="100" xfId="0" applyFill="1" applyBorder="1" applyAlignment="1">
      <alignment vertical="center"/>
    </xf>
    <xf numFmtId="0" fontId="0" fillId="0" borderId="62" xfId="0" applyFill="1" applyBorder="1" applyAlignment="1">
      <alignment vertical="center"/>
    </xf>
    <xf numFmtId="0" fontId="29" fillId="0" borderId="113" xfId="8" applyFont="1" applyFill="1" applyBorder="1" applyAlignment="1" applyProtection="1">
      <alignment horizontal="right" vertical="center"/>
    </xf>
    <xf numFmtId="49" fontId="19" fillId="7" borderId="5" xfId="8" applyNumberFormat="1" applyFont="1" applyFill="1" applyBorder="1" applyAlignment="1" applyProtection="1">
      <alignment vertical="center"/>
    </xf>
    <xf numFmtId="0" fontId="25" fillId="7" borderId="6" xfId="8" applyFont="1" applyFill="1" applyBorder="1" applyAlignment="1" applyProtection="1">
      <alignment vertical="center"/>
    </xf>
    <xf numFmtId="185" fontId="19" fillId="7" borderId="9" xfId="0" applyNumberFormat="1" applyFont="1" applyFill="1" applyBorder="1" applyAlignment="1">
      <alignment horizontal="right" vertical="center"/>
    </xf>
    <xf numFmtId="185" fontId="19" fillId="7" borderId="112" xfId="0" applyNumberFormat="1" applyFont="1" applyFill="1" applyBorder="1" applyAlignment="1">
      <alignment horizontal="right" vertical="center"/>
    </xf>
    <xf numFmtId="0" fontId="47" fillId="0" borderId="7" xfId="0" applyFont="1" applyBorder="1" applyAlignment="1">
      <alignment horizontal="center"/>
    </xf>
    <xf numFmtId="170" fontId="19" fillId="7" borderId="94" xfId="0" applyNumberFormat="1" applyFont="1" applyFill="1" applyBorder="1" applyAlignment="1">
      <alignment horizontal="right" vertical="center"/>
    </xf>
    <xf numFmtId="185" fontId="19" fillId="0" borderId="8" xfId="0" applyNumberFormat="1" applyFont="1" applyFill="1" applyBorder="1" applyAlignment="1">
      <alignment horizontal="right" vertical="center"/>
    </xf>
    <xf numFmtId="187" fontId="27" fillId="0" borderId="0" xfId="0" applyNumberFormat="1" applyFont="1" applyFill="1" applyBorder="1" applyAlignment="1">
      <alignment horizontal="right" vertical="center"/>
    </xf>
    <xf numFmtId="185" fontId="19" fillId="0" borderId="0" xfId="0" applyNumberFormat="1" applyFont="1" applyFill="1" applyBorder="1" applyAlignment="1">
      <alignment horizontal="right" vertical="center"/>
    </xf>
    <xf numFmtId="0" fontId="40" fillId="0" borderId="0" xfId="8" applyFont="1" applyFill="1" applyBorder="1" applyAlignment="1" applyProtection="1">
      <alignment vertical="center"/>
    </xf>
    <xf numFmtId="187" fontId="27" fillId="0" borderId="8" xfId="0" applyNumberFormat="1" applyFont="1" applyFill="1" applyBorder="1" applyAlignment="1">
      <alignment horizontal="right" vertical="center"/>
    </xf>
    <xf numFmtId="187" fontId="27" fillId="0" borderId="67" xfId="0" applyNumberFormat="1" applyFont="1" applyFill="1" applyBorder="1" applyAlignment="1">
      <alignment horizontal="right" vertical="center"/>
    </xf>
    <xf numFmtId="0" fontId="47" fillId="0" borderId="62" xfId="0" applyFont="1" applyFill="1" applyBorder="1" applyAlignment="1">
      <alignment horizontal="center" vertical="center"/>
    </xf>
    <xf numFmtId="0" fontId="19" fillId="0" borderId="62" xfId="8" applyFont="1" applyFill="1" applyBorder="1" applyAlignment="1" applyProtection="1">
      <alignment vertical="center"/>
    </xf>
    <xf numFmtId="0" fontId="29" fillId="0" borderId="62" xfId="8" applyFont="1" applyFill="1" applyBorder="1" applyAlignment="1" applyProtection="1">
      <alignment horizontal="right" vertical="center"/>
    </xf>
    <xf numFmtId="187" fontId="27" fillId="0" borderId="94" xfId="0" applyNumberFormat="1" applyFont="1" applyFill="1" applyBorder="1" applyAlignment="1">
      <alignment horizontal="right" vertical="center"/>
    </xf>
    <xf numFmtId="187" fontId="27" fillId="0" borderId="126" xfId="0" applyNumberFormat="1" applyFont="1" applyFill="1" applyBorder="1" applyAlignment="1">
      <alignment horizontal="right" vertical="center"/>
    </xf>
    <xf numFmtId="0" fontId="25" fillId="7" borderId="7" xfId="8" applyFont="1" applyFill="1" applyBorder="1" applyAlignment="1" applyProtection="1">
      <alignment vertical="center"/>
    </xf>
    <xf numFmtId="0" fontId="29" fillId="7" borderId="7" xfId="0" applyFont="1" applyFill="1" applyBorder="1" applyAlignment="1">
      <alignment horizontal="right" vertical="center"/>
    </xf>
    <xf numFmtId="185" fontId="19" fillId="7" borderId="71" xfId="0" applyNumberFormat="1" applyFont="1" applyFill="1" applyBorder="1" applyAlignment="1">
      <alignment horizontal="right" vertical="center"/>
    </xf>
    <xf numFmtId="0" fontId="79" fillId="4" borderId="4" xfId="0" applyFont="1" applyFill="1" applyBorder="1" applyAlignment="1">
      <alignment horizontal="center" vertical="center"/>
    </xf>
    <xf numFmtId="0" fontId="19" fillId="7" borderId="11" xfId="8" applyFont="1" applyFill="1" applyBorder="1" applyAlignment="1" applyProtection="1">
      <alignment vertical="center"/>
    </xf>
    <xf numFmtId="0" fontId="0" fillId="7" borderId="30" xfId="0" applyFill="1" applyBorder="1" applyAlignment="1">
      <alignment vertical="center"/>
    </xf>
    <xf numFmtId="0" fontId="25" fillId="7" borderId="30" xfId="8" applyFont="1" applyFill="1" applyBorder="1" applyAlignment="1" applyProtection="1">
      <alignment vertical="center"/>
    </xf>
    <xf numFmtId="185" fontId="19" fillId="7" borderId="52" xfId="0" applyNumberFormat="1" applyFont="1" applyFill="1" applyBorder="1" applyAlignment="1">
      <alignment horizontal="right" vertical="center"/>
    </xf>
    <xf numFmtId="185" fontId="19" fillId="7" borderId="73" xfId="0" applyNumberFormat="1" applyFont="1" applyFill="1" applyBorder="1" applyAlignment="1">
      <alignment horizontal="right" vertical="center"/>
    </xf>
    <xf numFmtId="0" fontId="26" fillId="0" borderId="62" xfId="0" applyFont="1" applyBorder="1" applyAlignment="1">
      <alignment horizontal="right" vertical="center"/>
    </xf>
    <xf numFmtId="0" fontId="26" fillId="0" borderId="62" xfId="0" applyFont="1" applyBorder="1" applyAlignment="1">
      <alignment horizontal="left" vertical="center"/>
    </xf>
    <xf numFmtId="0" fontId="29" fillId="0" borderId="62" xfId="0" applyFont="1" applyBorder="1" applyAlignment="1">
      <alignment horizontal="right" vertical="center"/>
    </xf>
    <xf numFmtId="185" fontId="20" fillId="4" borderId="94" xfId="4" applyNumberFormat="1" applyFont="1" applyFill="1" applyBorder="1" applyAlignment="1">
      <alignment horizontal="right" vertical="center"/>
    </xf>
    <xf numFmtId="185" fontId="20" fillId="7" borderId="94" xfId="4" applyNumberFormat="1" applyFont="1" applyFill="1" applyBorder="1" applyAlignment="1">
      <alignment horizontal="right" vertical="center"/>
    </xf>
    <xf numFmtId="185" fontId="20" fillId="4" borderId="126" xfId="4" applyNumberFormat="1" applyFont="1" applyFill="1" applyBorder="1" applyAlignment="1">
      <alignment horizontal="right" vertical="center"/>
    </xf>
    <xf numFmtId="185" fontId="27" fillId="4" borderId="0" xfId="0" applyNumberFormat="1" applyFont="1" applyFill="1" applyBorder="1" applyAlignment="1">
      <alignment vertical="center"/>
    </xf>
    <xf numFmtId="185" fontId="27" fillId="0" borderId="0" xfId="0" applyNumberFormat="1" applyFont="1" applyFill="1" applyBorder="1" applyAlignment="1">
      <alignment vertical="center"/>
    </xf>
    <xf numFmtId="0" fontId="22" fillId="0" borderId="85" xfId="8" applyFont="1" applyBorder="1" applyAlignment="1" applyProtection="1">
      <alignment vertical="center"/>
    </xf>
    <xf numFmtId="170" fontId="26" fillId="4" borderId="92" xfId="0" applyNumberFormat="1" applyFont="1" applyFill="1" applyBorder="1" applyAlignment="1">
      <alignment horizontal="right" vertical="center"/>
    </xf>
    <xf numFmtId="170" fontId="26" fillId="7" borderId="92" xfId="0" applyNumberFormat="1" applyFont="1" applyFill="1" applyBorder="1" applyAlignment="1">
      <alignment horizontal="right" vertical="center"/>
    </xf>
    <xf numFmtId="170" fontId="26" fillId="4" borderId="93" xfId="0" applyNumberFormat="1" applyFont="1" applyFill="1" applyBorder="1" applyAlignment="1">
      <alignment horizontal="right" vertical="center"/>
    </xf>
    <xf numFmtId="0" fontId="22" fillId="0" borderId="7" xfId="0" applyFont="1" applyBorder="1"/>
    <xf numFmtId="0" fontId="22" fillId="0" borderId="7" xfId="0" applyFont="1" applyBorder="1" applyAlignment="1">
      <alignment horizontal="right" vertical="center"/>
    </xf>
    <xf numFmtId="185" fontId="22" fillId="4" borderId="94" xfId="4" applyNumberFormat="1" applyFont="1" applyFill="1" applyBorder="1" applyAlignment="1">
      <alignment horizontal="right" vertical="center"/>
    </xf>
    <xf numFmtId="185" fontId="22" fillId="7" borderId="94" xfId="4" applyNumberFormat="1" applyFont="1" applyFill="1" applyBorder="1" applyAlignment="1">
      <alignment horizontal="right" vertical="center"/>
    </xf>
    <xf numFmtId="185" fontId="22" fillId="4" borderId="126" xfId="4" applyNumberFormat="1" applyFont="1" applyFill="1" applyBorder="1" applyAlignment="1">
      <alignment horizontal="right" vertical="center"/>
    </xf>
    <xf numFmtId="0" fontId="26" fillId="7" borderId="62" xfId="8" applyFont="1" applyFill="1" applyBorder="1" applyAlignment="1" applyProtection="1">
      <alignment vertical="center"/>
    </xf>
    <xf numFmtId="170" fontId="19" fillId="7" borderId="126" xfId="0" applyNumberFormat="1" applyFont="1" applyFill="1" applyBorder="1" applyAlignment="1">
      <alignment horizontal="right" vertical="center"/>
    </xf>
    <xf numFmtId="170" fontId="19" fillId="7" borderId="8" xfId="0" applyNumberFormat="1" applyFont="1" applyFill="1" applyBorder="1" applyAlignment="1">
      <alignment horizontal="right" vertical="center"/>
    </xf>
    <xf numFmtId="170" fontId="19" fillId="7" borderId="67" xfId="0" applyNumberFormat="1" applyFont="1" applyFill="1" applyBorder="1" applyAlignment="1">
      <alignment horizontal="right" vertical="center"/>
    </xf>
    <xf numFmtId="195" fontId="21" fillId="4" borderId="7" xfId="0" applyNumberFormat="1" applyFont="1" applyFill="1" applyBorder="1" applyAlignment="1">
      <alignment horizontal="right"/>
    </xf>
    <xf numFmtId="0" fontId="29" fillId="0" borderId="127" xfId="0" applyFont="1" applyBorder="1" applyAlignment="1">
      <alignment horizontal="right" vertical="center"/>
    </xf>
    <xf numFmtId="0" fontId="29" fillId="0" borderId="10" xfId="0" applyFont="1" applyBorder="1" applyAlignment="1">
      <alignment horizontal="right" vertical="center"/>
    </xf>
    <xf numFmtId="0" fontId="29" fillId="0" borderId="24" xfId="0" applyFont="1" applyBorder="1" applyAlignment="1">
      <alignment horizontal="right" vertical="center"/>
    </xf>
    <xf numFmtId="49" fontId="22" fillId="0" borderId="30" xfId="8" applyNumberFormat="1" applyFont="1" applyBorder="1" applyAlignment="1" applyProtection="1">
      <alignment vertical="center"/>
    </xf>
    <xf numFmtId="0" fontId="40" fillId="0" borderId="3" xfId="0" applyFont="1" applyBorder="1" applyAlignment="1">
      <alignment horizontal="right" vertical="center"/>
    </xf>
    <xf numFmtId="0" fontId="47" fillId="4" borderId="100" xfId="0" applyFont="1" applyFill="1" applyBorder="1" applyAlignment="1">
      <alignment horizontal="center" vertical="center"/>
    </xf>
    <xf numFmtId="0" fontId="25" fillId="0" borderId="62" xfId="0" applyFont="1" applyBorder="1" applyAlignment="1">
      <alignment vertical="center"/>
    </xf>
    <xf numFmtId="0" fontId="19" fillId="0" borderId="62" xfId="0" applyFont="1" applyBorder="1" applyAlignment="1">
      <alignment vertical="center"/>
    </xf>
    <xf numFmtId="0" fontId="20" fillId="0" borderId="62" xfId="0" applyFont="1" applyBorder="1" applyAlignment="1">
      <alignment horizontal="right" vertical="center"/>
    </xf>
    <xf numFmtId="185" fontId="22" fillId="7" borderId="94" xfId="0" applyNumberFormat="1" applyFont="1" applyFill="1" applyBorder="1" applyAlignment="1">
      <alignment horizontal="right" vertical="center"/>
    </xf>
    <xf numFmtId="185" fontId="22" fillId="4" borderId="100" xfId="4" applyNumberFormat="1" applyFont="1" applyFill="1" applyBorder="1" applyAlignment="1">
      <alignment horizontal="right" vertical="center"/>
    </xf>
    <xf numFmtId="185" fontId="22" fillId="4" borderId="94" xfId="0" applyNumberFormat="1" applyFont="1" applyFill="1" applyBorder="1" applyAlignment="1">
      <alignment horizontal="right" vertical="center"/>
    </xf>
    <xf numFmtId="185" fontId="22" fillId="4" borderId="126" xfId="0" applyNumberFormat="1" applyFont="1" applyFill="1" applyBorder="1" applyAlignment="1">
      <alignment horizontal="right" vertical="center"/>
    </xf>
    <xf numFmtId="185" fontId="22" fillId="4" borderId="8" xfId="4" applyNumberFormat="1" applyFont="1" applyFill="1" applyBorder="1" applyAlignment="1">
      <alignment horizontal="right" vertical="center"/>
    </xf>
    <xf numFmtId="170" fontId="22" fillId="7" borderId="92" xfId="0" applyNumberFormat="1" applyFont="1" applyFill="1" applyBorder="1" applyAlignment="1">
      <alignment horizontal="right" vertical="center"/>
    </xf>
    <xf numFmtId="0" fontId="27" fillId="0" borderId="62" xfId="0" applyFont="1" applyBorder="1" applyAlignment="1">
      <alignment vertical="center"/>
    </xf>
    <xf numFmtId="49" fontId="22" fillId="0" borderId="4" xfId="8" applyNumberFormat="1" applyFont="1" applyBorder="1" applyAlignment="1" applyProtection="1">
      <alignment vertical="center"/>
    </xf>
    <xf numFmtId="170" fontId="22" fillId="7" borderId="53" xfId="0" applyNumberFormat="1" applyFont="1" applyFill="1" applyBorder="1" applyAlignment="1">
      <alignment horizontal="right" vertical="center"/>
    </xf>
    <xf numFmtId="0" fontId="29" fillId="0" borderId="24" xfId="8" applyFont="1" applyFill="1" applyBorder="1" applyAlignment="1" applyProtection="1">
      <alignment horizontal="right" vertical="center"/>
    </xf>
    <xf numFmtId="187" fontId="22" fillId="0" borderId="8" xfId="0" applyNumberFormat="1" applyFont="1" applyFill="1" applyBorder="1" applyAlignment="1">
      <alignment horizontal="right" vertical="center"/>
    </xf>
    <xf numFmtId="187" fontId="22" fillId="0" borderId="67" xfId="0" applyNumberFormat="1" applyFont="1" applyFill="1" applyBorder="1" applyAlignment="1">
      <alignment horizontal="right" vertical="center"/>
    </xf>
    <xf numFmtId="0" fontId="50" fillId="0" borderId="3" xfId="8" applyFont="1" applyBorder="1" applyAlignment="1" applyProtection="1">
      <alignment vertical="center"/>
    </xf>
    <xf numFmtId="0" fontId="50" fillId="0" borderId="0" xfId="0" applyFont="1" applyBorder="1" applyAlignment="1">
      <alignment vertical="center"/>
    </xf>
    <xf numFmtId="0" fontId="47" fillId="0" borderId="4" xfId="0" applyFont="1" applyBorder="1"/>
    <xf numFmtId="198" fontId="29" fillId="0" borderId="7" xfId="8" applyNumberFormat="1" applyFont="1" applyBorder="1" applyAlignment="1" applyProtection="1">
      <alignment horizontal="centerContinuous" vertical="center"/>
    </xf>
    <xf numFmtId="170" fontId="21" fillId="4" borderId="53" xfId="0" applyNumberFormat="1" applyFont="1" applyFill="1" applyBorder="1" applyAlignment="1">
      <alignment horizontal="left" vertical="center"/>
    </xf>
    <xf numFmtId="170" fontId="21" fillId="4" borderId="71" xfId="0" applyNumberFormat="1" applyFont="1" applyFill="1" applyBorder="1" applyAlignment="1">
      <alignment horizontal="left" vertical="center"/>
    </xf>
    <xf numFmtId="0" fontId="21" fillId="0" borderId="3" xfId="0" applyFont="1" applyBorder="1" applyAlignment="1">
      <alignment vertical="center"/>
    </xf>
    <xf numFmtId="0" fontId="47" fillId="0" borderId="62" xfId="0" applyFont="1" applyBorder="1" applyAlignment="1">
      <alignment horizontal="center" vertical="center"/>
    </xf>
    <xf numFmtId="170" fontId="31" fillId="7" borderId="10" xfId="6" applyNumberFormat="1" applyFont="1" applyFill="1" applyBorder="1" applyAlignment="1" applyProtection="1">
      <alignment vertical="center"/>
    </xf>
    <xf numFmtId="173" fontId="31" fillId="7" borderId="3" xfId="6" applyNumberFormat="1" applyFont="1" applyFill="1" applyBorder="1" applyAlignment="1" applyProtection="1">
      <alignment vertical="center"/>
    </xf>
    <xf numFmtId="0" fontId="0" fillId="7" borderId="123" xfId="0" applyFill="1" applyBorder="1" applyAlignment="1">
      <alignment vertical="center"/>
    </xf>
    <xf numFmtId="0" fontId="25" fillId="7" borderId="123" xfId="8" applyFont="1" applyFill="1" applyBorder="1" applyAlignment="1" applyProtection="1">
      <alignment vertical="center"/>
    </xf>
    <xf numFmtId="185" fontId="19" fillId="7" borderId="106" xfId="0" applyNumberFormat="1" applyFont="1" applyFill="1" applyBorder="1" applyAlignment="1">
      <alignment horizontal="right" vertical="center"/>
    </xf>
    <xf numFmtId="185" fontId="19" fillId="7" borderId="107" xfId="0" applyNumberFormat="1" applyFont="1" applyFill="1" applyBorder="1" applyAlignment="1">
      <alignment horizontal="right" vertical="center"/>
    </xf>
    <xf numFmtId="170" fontId="19" fillId="7" borderId="127" xfId="0" applyNumberFormat="1" applyFont="1" applyFill="1" applyBorder="1" applyAlignment="1">
      <alignment horizontal="right" vertical="center"/>
    </xf>
    <xf numFmtId="185" fontId="19" fillId="7" borderId="97" xfId="0" applyNumberFormat="1" applyFont="1" applyFill="1" applyBorder="1" applyAlignment="1">
      <alignment horizontal="right" vertical="center"/>
    </xf>
    <xf numFmtId="170" fontId="19" fillId="7" borderId="113" xfId="0" applyNumberFormat="1" applyFont="1" applyFill="1" applyBorder="1" applyAlignment="1">
      <alignment horizontal="right" vertical="center"/>
    </xf>
    <xf numFmtId="0" fontId="29" fillId="7" borderId="6" xfId="0" applyFont="1" applyFill="1" applyBorder="1" applyAlignment="1">
      <alignment horizontal="right" vertical="center"/>
    </xf>
    <xf numFmtId="0" fontId="29" fillId="7" borderId="97" xfId="8" applyFont="1" applyFill="1" applyBorder="1" applyAlignment="1" applyProtection="1">
      <alignment horizontal="right" vertical="center"/>
    </xf>
    <xf numFmtId="196" fontId="22" fillId="7" borderId="8" xfId="0" applyNumberFormat="1" applyFont="1" applyFill="1" applyBorder="1" applyAlignment="1">
      <alignment horizontal="right" vertical="center"/>
    </xf>
    <xf numFmtId="196" fontId="22" fillId="7" borderId="53" xfId="0" applyNumberFormat="1" applyFont="1" applyFill="1" applyBorder="1" applyAlignment="1">
      <alignment vertical="center"/>
    </xf>
    <xf numFmtId="0" fontId="26" fillId="7" borderId="85" xfId="8" applyFont="1" applyFill="1" applyBorder="1" applyAlignment="1" applyProtection="1">
      <alignment vertical="center"/>
    </xf>
    <xf numFmtId="0" fontId="29" fillId="7" borderId="127" xfId="8" applyFont="1" applyFill="1" applyBorder="1" applyAlignment="1" applyProtection="1">
      <alignment horizontal="right" vertical="center"/>
    </xf>
    <xf numFmtId="189" fontId="22" fillId="0" borderId="8" xfId="0" applyNumberFormat="1" applyFont="1" applyFill="1" applyBorder="1" applyAlignment="1">
      <alignment horizontal="right" vertical="center"/>
    </xf>
    <xf numFmtId="189" fontId="22" fillId="0" borderId="67" xfId="0" applyNumberFormat="1" applyFont="1" applyFill="1" applyBorder="1" applyAlignment="1">
      <alignment horizontal="right" vertical="center"/>
    </xf>
    <xf numFmtId="171" fontId="20" fillId="0" borderId="8" xfId="0" applyNumberFormat="1" applyFont="1" applyFill="1" applyBorder="1" applyAlignment="1">
      <alignment horizontal="right" vertical="center"/>
    </xf>
    <xf numFmtId="171" fontId="20" fillId="0" borderId="67" xfId="0" applyNumberFormat="1" applyFont="1" applyFill="1" applyBorder="1" applyAlignment="1">
      <alignment horizontal="right" vertical="center"/>
    </xf>
    <xf numFmtId="0" fontId="22" fillId="0" borderId="0" xfId="8" applyFont="1" applyFill="1" applyBorder="1" applyAlignment="1" applyProtection="1">
      <alignment vertical="center"/>
    </xf>
    <xf numFmtId="0" fontId="47" fillId="0" borderId="0" xfId="0" applyFont="1" applyFill="1" applyBorder="1"/>
    <xf numFmtId="0" fontId="22" fillId="0" borderId="0" xfId="8" applyFont="1" applyFill="1" applyBorder="1" applyAlignment="1" applyProtection="1">
      <alignment horizontal="right" vertical="center"/>
    </xf>
    <xf numFmtId="0" fontId="47" fillId="0" borderId="7" xfId="0" applyFont="1" applyFill="1" applyBorder="1"/>
    <xf numFmtId="0" fontId="29" fillId="0" borderId="7" xfId="8" applyFont="1" applyFill="1" applyBorder="1" applyAlignment="1" applyProtection="1">
      <alignment vertical="center"/>
    </xf>
    <xf numFmtId="0" fontId="22" fillId="0" borderId="7" xfId="8" applyFont="1" applyFill="1" applyBorder="1" applyAlignment="1" applyProtection="1">
      <alignment horizontal="right" vertical="center"/>
    </xf>
    <xf numFmtId="0" fontId="19" fillId="0" borderId="4" xfId="8" applyFont="1" applyFill="1" applyBorder="1" applyAlignment="1" applyProtection="1">
      <alignment vertical="center"/>
    </xf>
    <xf numFmtId="0" fontId="40" fillId="0" borderId="7" xfId="0" applyFont="1" applyFill="1" applyBorder="1" applyAlignment="1">
      <alignment vertical="center"/>
    </xf>
    <xf numFmtId="0" fontId="22" fillId="0" borderId="7" xfId="8" applyFont="1" applyFill="1" applyBorder="1" applyAlignment="1" applyProtection="1">
      <alignment vertical="center"/>
    </xf>
    <xf numFmtId="0" fontId="47" fillId="0" borderId="100" xfId="0" applyFont="1" applyFill="1" applyBorder="1" applyAlignment="1">
      <alignment vertical="center"/>
    </xf>
    <xf numFmtId="0" fontId="40" fillId="0" borderId="62" xfId="0" applyFont="1" applyFill="1" applyBorder="1" applyAlignment="1">
      <alignment vertical="center"/>
    </xf>
    <xf numFmtId="187" fontId="22" fillId="7" borderId="94" xfId="0" applyNumberFormat="1" applyFont="1" applyFill="1" applyBorder="1" applyAlignment="1">
      <alignment horizontal="right" vertical="center"/>
    </xf>
    <xf numFmtId="0" fontId="22" fillId="7" borderId="62" xfId="0" applyFont="1" applyFill="1" applyBorder="1" applyAlignment="1">
      <alignment vertical="center"/>
    </xf>
    <xf numFmtId="0" fontId="20" fillId="7" borderId="62" xfId="8" applyFont="1" applyFill="1" applyBorder="1" applyAlignment="1" applyProtection="1">
      <alignment vertical="center"/>
    </xf>
    <xf numFmtId="0" fontId="22" fillId="7" borderId="62" xfId="8" applyFont="1" applyFill="1" applyBorder="1" applyAlignment="1" applyProtection="1">
      <alignment vertical="center"/>
    </xf>
    <xf numFmtId="187" fontId="27" fillId="4" borderId="85" xfId="0" applyNumberFormat="1" applyFont="1" applyFill="1" applyBorder="1" applyAlignment="1">
      <alignment horizontal="right" vertical="center"/>
    </xf>
    <xf numFmtId="0" fontId="47" fillId="0" borderId="0" xfId="0" applyFont="1" applyFill="1" applyBorder="1" applyAlignment="1">
      <alignment horizontal="center" vertical="center"/>
    </xf>
    <xf numFmtId="0" fontId="29" fillId="0" borderId="0" xfId="8" applyFont="1" applyFill="1" applyBorder="1" applyAlignment="1" applyProtection="1">
      <alignment horizontal="left" vertical="center"/>
    </xf>
    <xf numFmtId="0" fontId="40" fillId="7" borderId="85" xfId="0" applyFont="1" applyFill="1" applyBorder="1" applyAlignment="1">
      <alignment vertical="center"/>
    </xf>
    <xf numFmtId="2" fontId="19" fillId="4" borderId="101" xfId="0" applyNumberFormat="1" applyFont="1" applyFill="1" applyBorder="1" applyAlignment="1">
      <alignment horizontal="right" vertical="center"/>
    </xf>
    <xf numFmtId="0" fontId="20" fillId="4" borderId="101" xfId="8" applyFont="1" applyFill="1" applyBorder="1" applyAlignment="1" applyProtection="1">
      <alignment vertical="center"/>
    </xf>
    <xf numFmtId="0" fontId="20" fillId="4" borderId="101" xfId="8" applyFont="1" applyFill="1" applyBorder="1" applyAlignment="1" applyProtection="1">
      <alignment horizontal="right" vertical="center"/>
    </xf>
    <xf numFmtId="0" fontId="31" fillId="4" borderId="101" xfId="8" applyFont="1" applyFill="1" applyBorder="1" applyAlignment="1" applyProtection="1">
      <alignment horizontal="right" vertical="center"/>
    </xf>
    <xf numFmtId="187" fontId="22" fillId="7" borderId="8" xfId="4" applyNumberFormat="1" applyFont="1" applyFill="1" applyBorder="1" applyAlignment="1">
      <alignment horizontal="right" vertical="center"/>
    </xf>
    <xf numFmtId="196" fontId="22" fillId="7" borderId="94" xfId="0" applyNumberFormat="1" applyFont="1" applyFill="1" applyBorder="1" applyAlignment="1">
      <alignment horizontal="right" vertical="center"/>
    </xf>
    <xf numFmtId="2" fontId="19" fillId="0" borderId="101" xfId="0" applyNumberFormat="1" applyFont="1" applyFill="1" applyBorder="1" applyAlignment="1">
      <alignment horizontal="right" vertical="center"/>
    </xf>
    <xf numFmtId="196" fontId="22" fillId="0" borderId="94" xfId="0" applyNumberFormat="1" applyFont="1" applyFill="1" applyBorder="1" applyAlignment="1">
      <alignment horizontal="right" vertical="center"/>
    </xf>
    <xf numFmtId="187" fontId="22" fillId="0" borderId="8" xfId="4" applyNumberFormat="1" applyFont="1" applyFill="1" applyBorder="1" applyAlignment="1">
      <alignment horizontal="right" vertical="center"/>
    </xf>
    <xf numFmtId="187" fontId="22" fillId="7" borderId="53" xfId="4" applyNumberFormat="1" applyFont="1" applyFill="1" applyBorder="1" applyAlignment="1">
      <alignment horizontal="right" vertical="center"/>
    </xf>
    <xf numFmtId="187" fontId="22" fillId="0" borderId="53" xfId="4" applyNumberFormat="1" applyFont="1" applyFill="1" applyBorder="1" applyAlignment="1">
      <alignment horizontal="right" vertical="center"/>
    </xf>
    <xf numFmtId="187" fontId="22" fillId="0" borderId="67" xfId="4" applyNumberFormat="1" applyFont="1" applyFill="1" applyBorder="1" applyAlignment="1">
      <alignment horizontal="right" vertical="center"/>
    </xf>
    <xf numFmtId="187" fontId="22" fillId="0" borderId="71" xfId="4" applyNumberFormat="1" applyFont="1" applyFill="1" applyBorder="1" applyAlignment="1">
      <alignment horizontal="right" vertical="center"/>
    </xf>
    <xf numFmtId="185" fontId="19" fillId="0" borderId="0" xfId="0" applyNumberFormat="1" applyFont="1" applyFill="1" applyBorder="1" applyAlignment="1">
      <alignment vertical="center"/>
    </xf>
    <xf numFmtId="0" fontId="26" fillId="7" borderId="0" xfId="8" applyFont="1" applyFill="1" applyBorder="1" applyAlignment="1" applyProtection="1">
      <alignment vertical="center"/>
    </xf>
    <xf numFmtId="170" fontId="19" fillId="7" borderId="10" xfId="0" applyNumberFormat="1" applyFont="1" applyFill="1" applyBorder="1" applyAlignment="1">
      <alignment horizontal="right" vertical="center"/>
    </xf>
    <xf numFmtId="0" fontId="47" fillId="0" borderId="128" xfId="0" applyFont="1" applyBorder="1" applyAlignment="1">
      <alignment horizontal="center" vertical="center"/>
    </xf>
    <xf numFmtId="49" fontId="22" fillId="0" borderId="129" xfId="8" applyNumberFormat="1" applyFont="1" applyBorder="1" applyAlignment="1" applyProtection="1">
      <alignment vertical="center"/>
    </xf>
    <xf numFmtId="0" fontId="22" fillId="0" borderId="101" xfId="0" applyFont="1" applyBorder="1" applyAlignment="1">
      <alignment vertical="center"/>
    </xf>
    <xf numFmtId="0" fontId="22" fillId="0" borderId="101" xfId="8" applyFont="1" applyBorder="1" applyAlignment="1" applyProtection="1">
      <alignment vertical="center"/>
    </xf>
    <xf numFmtId="0" fontId="29" fillId="0" borderId="130" xfId="8" applyFont="1" applyBorder="1" applyAlignment="1" applyProtection="1">
      <alignment horizontal="right" vertical="center"/>
    </xf>
    <xf numFmtId="170" fontId="22" fillId="0" borderId="130" xfId="0" applyNumberFormat="1" applyFont="1" applyFill="1" applyBorder="1" applyAlignment="1">
      <alignment horizontal="right" vertical="center"/>
    </xf>
    <xf numFmtId="170" fontId="22" fillId="0" borderId="131" xfId="0" applyNumberFormat="1" applyFont="1" applyFill="1" applyBorder="1" applyAlignment="1">
      <alignment horizontal="right" vertical="center"/>
    </xf>
    <xf numFmtId="170" fontId="22" fillId="0" borderId="132" xfId="0" applyNumberFormat="1" applyFont="1" applyFill="1" applyBorder="1" applyAlignment="1">
      <alignment horizontal="right" vertical="center"/>
    </xf>
    <xf numFmtId="196" fontId="22" fillId="0" borderId="126" xfId="0" applyNumberFormat="1" applyFont="1" applyFill="1" applyBorder="1" applyAlignment="1">
      <alignment horizontal="right" vertical="center"/>
    </xf>
    <xf numFmtId="0" fontId="19" fillId="7" borderId="98" xfId="8" applyFont="1" applyFill="1" applyBorder="1" applyAlignment="1" applyProtection="1">
      <alignment vertical="center"/>
    </xf>
    <xf numFmtId="0" fontId="35" fillId="0" borderId="30" xfId="0" applyFont="1" applyBorder="1" applyAlignment="1">
      <alignment vertical="center"/>
    </xf>
    <xf numFmtId="3" fontId="35" fillId="0" borderId="52" xfId="0" applyNumberFormat="1" applyFont="1" applyBorder="1" applyAlignment="1">
      <alignment horizontal="center" vertical="center"/>
    </xf>
    <xf numFmtId="3" fontId="35" fillId="0" borderId="30" xfId="0" applyNumberFormat="1" applyFont="1" applyBorder="1" applyAlignment="1">
      <alignment horizontal="center" vertical="center"/>
    </xf>
    <xf numFmtId="3" fontId="35" fillId="0" borderId="74" xfId="0" applyNumberFormat="1" applyFont="1" applyBorder="1" applyAlignment="1">
      <alignment horizontal="center" vertical="center"/>
    </xf>
    <xf numFmtId="1" fontId="50" fillId="0" borderId="53" xfId="0" applyNumberFormat="1" applyFont="1" applyBorder="1" applyAlignment="1">
      <alignment horizontal="center" vertical="center"/>
    </xf>
    <xf numFmtId="1" fontId="50" fillId="0" borderId="7" xfId="0" applyNumberFormat="1" applyFont="1" applyBorder="1" applyAlignment="1">
      <alignment horizontal="center" vertical="center"/>
    </xf>
    <xf numFmtId="1" fontId="50" fillId="0" borderId="69" xfId="0" applyNumberFormat="1" applyFont="1" applyBorder="1" applyAlignment="1">
      <alignment horizontal="center" vertical="center"/>
    </xf>
    <xf numFmtId="1" fontId="50" fillId="0" borderId="71" xfId="0" applyNumberFormat="1" applyFont="1" applyBorder="1" applyAlignment="1">
      <alignment horizontal="center" vertical="center"/>
    </xf>
    <xf numFmtId="1" fontId="50" fillId="0" borderId="24" xfId="0" applyNumberFormat="1" applyFont="1" applyBorder="1" applyAlignment="1">
      <alignment horizontal="center" vertical="center"/>
    </xf>
    <xf numFmtId="0" fontId="35" fillId="7" borderId="105" xfId="0" applyFont="1" applyFill="1" applyBorder="1" applyAlignment="1">
      <alignment horizontal="right" vertical="center"/>
    </xf>
    <xf numFmtId="0" fontId="20" fillId="7" borderId="64" xfId="0" applyFont="1" applyFill="1" applyBorder="1" applyAlignment="1">
      <alignment horizontal="right" vertical="center"/>
    </xf>
    <xf numFmtId="0" fontId="22" fillId="7" borderId="64" xfId="0" applyFont="1" applyFill="1" applyBorder="1" applyAlignment="1">
      <alignment horizontal="right" vertical="center"/>
    </xf>
    <xf numFmtId="1" fontId="20" fillId="7" borderId="64" xfId="0" applyNumberFormat="1" applyFont="1" applyFill="1" applyBorder="1" applyAlignment="1">
      <alignment horizontal="right" vertical="center"/>
    </xf>
    <xf numFmtId="1" fontId="22" fillId="7" borderId="64" xfId="0" applyNumberFormat="1" applyFont="1" applyFill="1" applyBorder="1" applyAlignment="1">
      <alignment horizontal="right" vertical="center"/>
    </xf>
    <xf numFmtId="1" fontId="22" fillId="7" borderId="70" xfId="0" applyNumberFormat="1" applyFont="1" applyFill="1" applyBorder="1" applyAlignment="1">
      <alignment horizontal="right" vertical="center"/>
    </xf>
    <xf numFmtId="1" fontId="20" fillId="7" borderId="70" xfId="0" applyNumberFormat="1" applyFont="1" applyFill="1" applyBorder="1" applyAlignment="1">
      <alignment horizontal="right" vertical="center"/>
    </xf>
    <xf numFmtId="1" fontId="35" fillId="7" borderId="133" xfId="8" applyNumberFormat="1" applyFont="1" applyFill="1" applyBorder="1" applyAlignment="1" applyProtection="1">
      <alignment horizontal="right" vertical="center"/>
    </xf>
    <xf numFmtId="0" fontId="20" fillId="7" borderId="133" xfId="0" applyFont="1" applyFill="1" applyBorder="1" applyAlignment="1">
      <alignment horizontal="right" vertical="center"/>
    </xf>
    <xf numFmtId="1" fontId="22" fillId="7" borderId="64" xfId="8" applyNumberFormat="1" applyFont="1" applyFill="1" applyBorder="1" applyAlignment="1" applyProtection="1">
      <alignment horizontal="right" vertical="center"/>
    </xf>
    <xf numFmtId="166" fontId="22" fillId="7" borderId="64" xfId="8" applyNumberFormat="1" applyFont="1" applyFill="1" applyBorder="1" applyAlignment="1" applyProtection="1">
      <alignment horizontal="right" vertical="center"/>
    </xf>
    <xf numFmtId="0" fontId="20" fillId="7" borderId="70" xfId="8" applyFont="1" applyFill="1" applyBorder="1" applyAlignment="1" applyProtection="1">
      <alignment horizontal="right" vertical="center"/>
    </xf>
    <xf numFmtId="0" fontId="20" fillId="7" borderId="64" xfId="8" applyFont="1" applyFill="1" applyBorder="1" applyAlignment="1" applyProtection="1">
      <alignment horizontal="right" vertical="center"/>
    </xf>
    <xf numFmtId="0" fontId="35" fillId="7" borderId="64" xfId="8" applyFont="1" applyFill="1" applyBorder="1" applyAlignment="1" applyProtection="1">
      <alignment horizontal="right" vertical="center"/>
    </xf>
    <xf numFmtId="196" fontId="22" fillId="0" borderId="8" xfId="0" applyNumberFormat="1" applyFont="1" applyFill="1" applyBorder="1" applyAlignment="1">
      <alignment horizontal="right" vertical="center"/>
    </xf>
    <xf numFmtId="196" fontId="22" fillId="0" borderId="67" xfId="0" applyNumberFormat="1" applyFont="1" applyFill="1" applyBorder="1" applyAlignment="1">
      <alignment horizontal="right" vertical="center"/>
    </xf>
    <xf numFmtId="196" fontId="20" fillId="0" borderId="8" xfId="0" applyNumberFormat="1" applyFont="1" applyFill="1" applyBorder="1" applyAlignment="1">
      <alignment horizontal="right" vertical="center"/>
    </xf>
    <xf numFmtId="196" fontId="20" fillId="7" borderId="8" xfId="0" applyNumberFormat="1" applyFont="1" applyFill="1" applyBorder="1" applyAlignment="1">
      <alignment horizontal="right" vertical="center"/>
    </xf>
    <xf numFmtId="196" fontId="20" fillId="0" borderId="67" xfId="0" applyNumberFormat="1" applyFont="1" applyFill="1" applyBorder="1" applyAlignment="1">
      <alignment horizontal="right" vertical="center"/>
    </xf>
    <xf numFmtId="196" fontId="20" fillId="0" borderId="53" xfId="0" applyNumberFormat="1" applyFont="1" applyFill="1" applyBorder="1" applyAlignment="1">
      <alignment horizontal="right" vertical="center"/>
    </xf>
    <xf numFmtId="196" fontId="20" fillId="7" borderId="53" xfId="0" applyNumberFormat="1" applyFont="1" applyFill="1" applyBorder="1" applyAlignment="1">
      <alignment horizontal="right" vertical="center"/>
    </xf>
    <xf numFmtId="196" fontId="20" fillId="0" borderId="71" xfId="0" applyNumberFormat="1" applyFont="1" applyFill="1" applyBorder="1" applyAlignment="1">
      <alignment horizontal="right" vertical="center"/>
    </xf>
    <xf numFmtId="170" fontId="22" fillId="4" borderId="53" xfId="0" applyNumberFormat="1" applyFont="1" applyFill="1" applyBorder="1" applyAlignment="1">
      <alignment horizontal="right" vertical="center"/>
    </xf>
    <xf numFmtId="170" fontId="22" fillId="7" borderId="53" xfId="0" applyNumberFormat="1" applyFont="1" applyFill="1" applyBorder="1" applyAlignment="1">
      <alignment vertical="center"/>
    </xf>
    <xf numFmtId="170" fontId="22" fillId="4" borderId="71" xfId="0" applyNumberFormat="1" applyFont="1" applyFill="1" applyBorder="1" applyAlignment="1">
      <alignment vertical="center"/>
    </xf>
    <xf numFmtId="170" fontId="19" fillId="7" borderId="106" xfId="0" applyNumberFormat="1" applyFont="1" applyFill="1" applyBorder="1" applyAlignment="1">
      <alignment horizontal="right" vertical="center"/>
    </xf>
    <xf numFmtId="170" fontId="19" fillId="7" borderId="107" xfId="0" applyNumberFormat="1" applyFont="1" applyFill="1" applyBorder="1" applyAlignment="1">
      <alignment horizontal="right" vertical="center"/>
    </xf>
    <xf numFmtId="2" fontId="50" fillId="7" borderId="8" xfId="0" applyNumberFormat="1" applyFont="1" applyFill="1" applyBorder="1" applyAlignment="1">
      <alignment horizontal="center" vertical="center"/>
    </xf>
    <xf numFmtId="2" fontId="50" fillId="7" borderId="0" xfId="0" applyNumberFormat="1" applyFont="1" applyFill="1" applyBorder="1" applyAlignment="1">
      <alignment horizontal="center" vertical="center"/>
    </xf>
    <xf numFmtId="2" fontId="50" fillId="7" borderId="68" xfId="0" applyNumberFormat="1" applyFont="1" applyFill="1" applyBorder="1" applyAlignment="1">
      <alignment horizontal="center" vertical="center"/>
    </xf>
    <xf numFmtId="2" fontId="50" fillId="7" borderId="67" xfId="0" applyNumberFormat="1" applyFont="1" applyFill="1" applyBorder="1" applyAlignment="1">
      <alignment horizontal="center" vertical="center"/>
    </xf>
    <xf numFmtId="2" fontId="50" fillId="7" borderId="10" xfId="0" applyNumberFormat="1" applyFont="1" applyFill="1" applyBorder="1" applyAlignment="1">
      <alignment horizontal="center" vertical="center"/>
    </xf>
    <xf numFmtId="0" fontId="49" fillId="7" borderId="85" xfId="0" applyFont="1" applyFill="1" applyBorder="1" applyAlignment="1">
      <alignment horizontal="left" vertical="center"/>
    </xf>
    <xf numFmtId="0" fontId="20" fillId="7" borderId="63" xfId="0" applyFont="1" applyFill="1" applyBorder="1" applyAlignment="1">
      <alignment vertical="center"/>
    </xf>
    <xf numFmtId="1" fontId="20" fillId="7" borderId="63" xfId="0" applyNumberFormat="1" applyFont="1" applyFill="1" applyBorder="1" applyAlignment="1">
      <alignment vertical="center"/>
    </xf>
    <xf numFmtId="1" fontId="22" fillId="7" borderId="63" xfId="8" applyNumberFormat="1" applyFont="1" applyFill="1" applyBorder="1" applyAlignment="1" applyProtection="1">
      <alignment vertical="center"/>
    </xf>
    <xf numFmtId="1" fontId="22" fillId="7" borderId="63" xfId="8" applyNumberFormat="1" applyFont="1" applyFill="1" applyBorder="1" applyAlignment="1">
      <alignment vertical="center"/>
    </xf>
    <xf numFmtId="1" fontId="22" fillId="7" borderId="72" xfId="8" applyNumberFormat="1" applyFont="1" applyFill="1" applyBorder="1" applyAlignment="1" applyProtection="1">
      <alignment vertical="center"/>
    </xf>
    <xf numFmtId="1" fontId="20" fillId="7" borderId="72" xfId="8" applyNumberFormat="1" applyFont="1" applyFill="1" applyBorder="1" applyAlignment="1" applyProtection="1">
      <alignment vertical="center"/>
    </xf>
    <xf numFmtId="49" fontId="20" fillId="7" borderId="72" xfId="0" applyNumberFormat="1" applyFont="1" applyFill="1" applyBorder="1" applyAlignment="1">
      <alignment vertical="center"/>
    </xf>
    <xf numFmtId="0" fontId="20" fillId="7" borderId="134" xfId="8" applyFont="1" applyFill="1" applyBorder="1" applyAlignment="1" applyProtection="1">
      <alignment vertical="center"/>
    </xf>
    <xf numFmtId="0" fontId="20" fillId="7" borderId="72" xfId="8" applyFont="1" applyFill="1" applyBorder="1" applyAlignment="1" applyProtection="1">
      <alignment vertical="center"/>
    </xf>
    <xf numFmtId="0" fontId="20" fillId="7" borderId="63" xfId="8" applyFont="1" applyFill="1" applyBorder="1" applyAlignment="1" applyProtection="1">
      <alignment vertical="center"/>
    </xf>
    <xf numFmtId="170" fontId="21" fillId="7" borderId="53" xfId="0" applyNumberFormat="1" applyFont="1" applyFill="1" applyBorder="1" applyAlignment="1">
      <alignment horizontal="left" vertical="center"/>
    </xf>
    <xf numFmtId="170" fontId="20" fillId="7" borderId="131" xfId="0" applyNumberFormat="1" applyFont="1" applyFill="1" applyBorder="1" applyAlignment="1">
      <alignment horizontal="right" vertical="center"/>
    </xf>
    <xf numFmtId="173" fontId="31" fillId="0" borderId="24" xfId="6" applyNumberFormat="1" applyFont="1" applyFill="1" applyBorder="1" applyAlignment="1">
      <alignment horizontal="centerContinuous" vertical="center"/>
    </xf>
    <xf numFmtId="49" fontId="20" fillId="0" borderId="0" xfId="8" applyNumberFormat="1" applyFont="1" applyFill="1" applyBorder="1" applyAlignment="1" applyProtection="1">
      <alignment vertical="center"/>
    </xf>
    <xf numFmtId="0" fontId="36" fillId="0" borderId="30" xfId="0" applyFont="1" applyFill="1" applyBorder="1" applyAlignment="1">
      <alignment vertical="center"/>
    </xf>
    <xf numFmtId="0" fontId="20" fillId="0" borderId="30" xfId="0" applyFont="1" applyFill="1" applyBorder="1" applyAlignment="1">
      <alignment vertical="center"/>
    </xf>
    <xf numFmtId="0" fontId="20" fillId="0" borderId="0" xfId="0" applyFont="1" applyFill="1" applyBorder="1" applyAlignment="1">
      <alignment vertical="center"/>
    </xf>
    <xf numFmtId="1" fontId="20" fillId="0" borderId="0" xfId="0" applyNumberFormat="1" applyFont="1" applyFill="1" applyBorder="1" applyAlignment="1">
      <alignment horizontal="right" vertical="center"/>
    </xf>
    <xf numFmtId="1" fontId="19" fillId="0" borderId="0" xfId="0" applyNumberFormat="1" applyFont="1" applyFill="1" applyBorder="1" applyAlignment="1">
      <alignment horizontal="center" vertical="center"/>
    </xf>
    <xf numFmtId="1" fontId="22" fillId="7" borderId="66" xfId="0" applyNumberFormat="1" applyFont="1" applyFill="1" applyBorder="1" applyAlignment="1">
      <alignment horizontal="right" vertical="center"/>
    </xf>
    <xf numFmtId="3" fontId="50" fillId="0" borderId="94" xfId="0" applyNumberFormat="1" applyFont="1" applyBorder="1" applyAlignment="1">
      <alignment horizontal="center" vertical="center"/>
    </xf>
    <xf numFmtId="3" fontId="50" fillId="0" borderId="62" xfId="0" applyNumberFormat="1" applyFont="1" applyBorder="1" applyAlignment="1">
      <alignment horizontal="center" vertical="center"/>
    </xf>
    <xf numFmtId="3" fontId="50" fillId="0" borderId="108" xfId="0" applyNumberFormat="1" applyFont="1" applyBorder="1" applyAlignment="1">
      <alignment horizontal="center" vertical="center"/>
    </xf>
    <xf numFmtId="3" fontId="50" fillId="0" borderId="126" xfId="0" applyNumberFormat="1" applyFont="1" applyBorder="1" applyAlignment="1">
      <alignment horizontal="center" vertical="center"/>
    </xf>
    <xf numFmtId="3" fontId="50" fillId="0" borderId="113" xfId="0" applyNumberFormat="1" applyFont="1" applyBorder="1" applyAlignment="1">
      <alignment horizontal="center" vertical="center"/>
    </xf>
    <xf numFmtId="1" fontId="22" fillId="7" borderId="83" xfId="8" applyNumberFormat="1" applyFont="1" applyFill="1" applyBorder="1" applyAlignment="1" applyProtection="1">
      <alignment vertical="center"/>
    </xf>
    <xf numFmtId="1" fontId="22" fillId="7" borderId="86" xfId="0" applyNumberFormat="1" applyFont="1" applyFill="1" applyBorder="1" applyAlignment="1">
      <alignment horizontal="right" vertical="center"/>
    </xf>
    <xf numFmtId="1" fontId="50" fillId="0" borderId="92" xfId="0" applyNumberFormat="1" applyFont="1" applyBorder="1" applyAlignment="1">
      <alignment horizontal="center" vertical="center"/>
    </xf>
    <xf numFmtId="1" fontId="50" fillId="0" borderId="85" xfId="0" applyNumberFormat="1" applyFont="1" applyBorder="1" applyAlignment="1">
      <alignment horizontal="center" vertical="center"/>
    </xf>
    <xf numFmtId="1" fontId="50" fillId="0" borderId="95" xfId="0" applyNumberFormat="1" applyFont="1" applyBorder="1" applyAlignment="1">
      <alignment horizontal="center" vertical="center"/>
    </xf>
    <xf numFmtId="1" fontId="50" fillId="0" borderId="93" xfId="0" applyNumberFormat="1" applyFont="1" applyBorder="1" applyAlignment="1">
      <alignment horizontal="center" vertical="center"/>
    </xf>
    <xf numFmtId="1" fontId="50" fillId="0" borderId="127" xfId="0" applyNumberFormat="1" applyFont="1" applyBorder="1" applyAlignment="1">
      <alignment horizontal="center" vertical="center"/>
    </xf>
    <xf numFmtId="0" fontId="35" fillId="7" borderId="65" xfId="8" applyFont="1" applyFill="1" applyBorder="1" applyAlignment="1" applyProtection="1">
      <alignment vertical="center"/>
    </xf>
    <xf numFmtId="2" fontId="36" fillId="0" borderId="94" xfId="0" applyNumberFormat="1" applyFont="1" applyBorder="1" applyAlignment="1">
      <alignment horizontal="center" vertical="center"/>
    </xf>
    <xf numFmtId="2" fontId="36" fillId="0" borderId="62" xfId="0" applyNumberFormat="1" applyFont="1" applyBorder="1" applyAlignment="1">
      <alignment horizontal="center" vertical="center"/>
    </xf>
    <xf numFmtId="2" fontId="36" fillId="0" borderId="108" xfId="0" applyNumberFormat="1" applyFont="1" applyBorder="1" applyAlignment="1">
      <alignment horizontal="center" vertical="center"/>
    </xf>
    <xf numFmtId="2" fontId="36" fillId="0" borderId="126" xfId="0" applyNumberFormat="1" applyFont="1" applyBorder="1" applyAlignment="1">
      <alignment horizontal="center" vertical="center"/>
    </xf>
    <xf numFmtId="2" fontId="36" fillId="0" borderId="113" xfId="0" applyNumberFormat="1" applyFont="1" applyBorder="1" applyAlignment="1">
      <alignment horizontal="center" vertical="center"/>
    </xf>
    <xf numFmtId="0" fontId="36" fillId="0" borderId="0" xfId="0" applyFont="1" applyFill="1" applyBorder="1" applyAlignment="1">
      <alignment horizontal="right" vertical="center"/>
    </xf>
    <xf numFmtId="2" fontId="36" fillId="0" borderId="0" xfId="0" applyNumberFormat="1" applyFont="1" applyFill="1" applyBorder="1" applyAlignment="1">
      <alignment horizontal="center" vertical="center"/>
    </xf>
    <xf numFmtId="0" fontId="20" fillId="7" borderId="96" xfId="8" applyFont="1" applyFill="1" applyBorder="1" applyAlignment="1" applyProtection="1">
      <alignment vertical="center"/>
    </xf>
    <xf numFmtId="0" fontId="20" fillId="7" borderId="105" xfId="0" applyFont="1" applyFill="1" applyBorder="1" applyAlignment="1">
      <alignment horizontal="right" vertical="center"/>
    </xf>
    <xf numFmtId="170" fontId="29" fillId="3" borderId="45" xfId="0" applyNumberFormat="1" applyFont="1" applyFill="1" applyBorder="1" applyAlignment="1" applyProtection="1">
      <alignment horizontal="right" vertical="center"/>
      <protection locked="0"/>
    </xf>
    <xf numFmtId="0" fontId="0" fillId="7" borderId="25" xfId="0" applyFill="1" applyBorder="1" applyProtection="1"/>
    <xf numFmtId="1" fontId="19" fillId="0" borderId="10" xfId="0" applyNumberFormat="1" applyFont="1" applyFill="1" applyBorder="1" applyAlignment="1">
      <alignment horizontal="center" vertical="center"/>
    </xf>
    <xf numFmtId="1" fontId="19" fillId="0" borderId="53" xfId="0" applyNumberFormat="1" applyFont="1" applyBorder="1" applyAlignment="1">
      <alignment horizontal="center" vertical="center"/>
    </xf>
    <xf numFmtId="2" fontId="36" fillId="0" borderId="10" xfId="0" applyNumberFormat="1" applyFont="1" applyFill="1" applyBorder="1" applyAlignment="1">
      <alignment horizontal="center" vertical="center"/>
    </xf>
    <xf numFmtId="1" fontId="19" fillId="0" borderId="68" xfId="0" applyNumberFormat="1" applyFont="1" applyFill="1" applyBorder="1" applyAlignment="1">
      <alignment horizontal="center" vertical="center"/>
    </xf>
    <xf numFmtId="1" fontId="19" fillId="0" borderId="8" xfId="0" applyNumberFormat="1" applyFont="1" applyFill="1" applyBorder="1" applyAlignment="1">
      <alignment horizontal="center" vertical="center"/>
    </xf>
    <xf numFmtId="1" fontId="19" fillId="0" borderId="71" xfId="0" applyNumberFormat="1" applyFont="1" applyBorder="1" applyAlignment="1">
      <alignment horizontal="center" vertical="center"/>
    </xf>
    <xf numFmtId="2" fontId="36" fillId="0" borderId="68" xfId="0" applyNumberFormat="1" applyFont="1" applyFill="1" applyBorder="1" applyAlignment="1">
      <alignment horizontal="center" vertical="center"/>
    </xf>
    <xf numFmtId="2" fontId="36" fillId="0" borderId="8" xfId="0" applyNumberFormat="1" applyFont="1" applyFill="1" applyBorder="1" applyAlignment="1">
      <alignment horizontal="center" vertical="center"/>
    </xf>
    <xf numFmtId="3" fontId="35" fillId="0" borderId="31" xfId="0" applyNumberFormat="1" applyFont="1" applyBorder="1" applyAlignment="1">
      <alignment horizontal="center" vertical="center"/>
    </xf>
    <xf numFmtId="0" fontId="35" fillId="7" borderId="134" xfId="8" applyFont="1" applyFill="1" applyBorder="1" applyAlignment="1" applyProtection="1">
      <alignment vertical="center"/>
    </xf>
    <xf numFmtId="0" fontId="35" fillId="7" borderId="133" xfId="8" applyFont="1" applyFill="1" applyBorder="1" applyAlignment="1" applyProtection="1">
      <alignment horizontal="right" vertical="center"/>
    </xf>
    <xf numFmtId="3" fontId="35" fillId="0" borderId="73" xfId="0" applyNumberFormat="1" applyFont="1" applyBorder="1" applyAlignment="1">
      <alignment horizontal="center" vertical="center"/>
    </xf>
    <xf numFmtId="1" fontId="19" fillId="0" borderId="64" xfId="0" applyNumberFormat="1" applyFont="1" applyFill="1" applyBorder="1" applyAlignment="1">
      <alignment horizontal="center" vertical="center"/>
    </xf>
    <xf numFmtId="2" fontId="36" fillId="0" borderId="64" xfId="0" applyNumberFormat="1" applyFont="1" applyFill="1" applyBorder="1" applyAlignment="1">
      <alignment horizontal="center" vertical="center"/>
    </xf>
    <xf numFmtId="1" fontId="20" fillId="0" borderId="63" xfId="0" applyNumberFormat="1" applyFont="1" applyFill="1" applyBorder="1" applyAlignment="1">
      <alignment vertical="center"/>
    </xf>
    <xf numFmtId="0" fontId="35" fillId="0" borderId="63" xfId="8" applyFont="1" applyFill="1" applyBorder="1" applyAlignment="1" applyProtection="1">
      <alignment vertical="center"/>
    </xf>
    <xf numFmtId="177" fontId="32" fillId="4" borderId="75" xfId="0" applyNumberFormat="1" applyFont="1" applyFill="1" applyBorder="1" applyAlignment="1" applyProtection="1">
      <alignment horizontal="right" vertical="center"/>
    </xf>
    <xf numFmtId="0" fontId="89" fillId="0" borderId="110" xfId="0" applyFont="1" applyFill="1" applyBorder="1" applyAlignment="1" applyProtection="1">
      <alignment horizontal="centerContinuous" vertical="center"/>
    </xf>
    <xf numFmtId="0" fontId="31" fillId="0" borderId="5" xfId="0" applyFont="1" applyFill="1" applyBorder="1" applyAlignment="1" applyProtection="1">
      <alignment horizontal="centerContinuous" vertical="center"/>
    </xf>
    <xf numFmtId="0" fontId="50" fillId="7" borderId="10" xfId="0" applyFont="1" applyFill="1" applyBorder="1" applyAlignment="1">
      <alignment horizontal="right" vertical="center"/>
    </xf>
    <xf numFmtId="195" fontId="20" fillId="4" borderId="8" xfId="0" applyNumberFormat="1" applyFont="1" applyFill="1" applyBorder="1" applyAlignment="1">
      <alignment horizontal="right" vertical="center"/>
    </xf>
    <xf numFmtId="195" fontId="20" fillId="7" borderId="8" xfId="0" applyNumberFormat="1" applyFont="1" applyFill="1" applyBorder="1" applyAlignment="1">
      <alignment horizontal="right" vertical="center"/>
    </xf>
    <xf numFmtId="195" fontId="20" fillId="4" borderId="67" xfId="0" applyNumberFormat="1" applyFont="1" applyFill="1" applyBorder="1" applyAlignment="1">
      <alignment horizontal="right" vertical="center"/>
    </xf>
    <xf numFmtId="0" fontId="19" fillId="7" borderId="62" xfId="0" applyFont="1" applyFill="1" applyBorder="1" applyAlignment="1">
      <alignment vertical="center"/>
    </xf>
    <xf numFmtId="0" fontId="21" fillId="7" borderId="62" xfId="0" applyFont="1" applyFill="1" applyBorder="1" applyAlignment="1">
      <alignment vertical="center"/>
    </xf>
    <xf numFmtId="0" fontId="29" fillId="7" borderId="62" xfId="0" applyFont="1" applyFill="1" applyBorder="1" applyAlignment="1">
      <alignment horizontal="left" vertical="center"/>
    </xf>
    <xf numFmtId="174" fontId="19" fillId="7" borderId="94" xfId="0" applyNumberFormat="1" applyFont="1" applyFill="1" applyBorder="1" applyAlignment="1">
      <alignment horizontal="center" vertical="center"/>
    </xf>
    <xf numFmtId="174" fontId="19" fillId="7" borderId="126" xfId="0" applyNumberFormat="1" applyFont="1" applyFill="1" applyBorder="1" applyAlignment="1">
      <alignment horizontal="center" vertical="center"/>
    </xf>
    <xf numFmtId="0" fontId="20" fillId="0" borderId="0" xfId="8" applyFont="1" applyFill="1" applyBorder="1" applyAlignment="1" applyProtection="1">
      <alignment horizontal="right" vertical="center"/>
    </xf>
    <xf numFmtId="3" fontId="19" fillId="0" borderId="0" xfId="0" applyNumberFormat="1" applyFont="1" applyFill="1" applyBorder="1" applyAlignment="1">
      <alignment horizontal="center" vertical="center"/>
    </xf>
    <xf numFmtId="1" fontId="31" fillId="4" borderId="2" xfId="0" applyNumberFormat="1" applyFont="1" applyFill="1" applyBorder="1" applyAlignment="1" applyProtection="1">
      <alignment horizontal="center" vertical="center"/>
    </xf>
    <xf numFmtId="194" fontId="22" fillId="4" borderId="56" xfId="0" applyNumberFormat="1" applyFont="1" applyFill="1" applyBorder="1" applyAlignment="1" applyProtection="1">
      <alignment horizontal="center" vertical="center"/>
    </xf>
    <xf numFmtId="0" fontId="22" fillId="3" borderId="8" xfId="0" applyFont="1" applyFill="1" applyBorder="1" applyAlignment="1" applyProtection="1">
      <alignment vertical="center"/>
      <protection locked="0"/>
    </xf>
    <xf numFmtId="4" fontId="22" fillId="3" borderId="19" xfId="0" applyNumberFormat="1" applyFont="1" applyFill="1" applyBorder="1" applyAlignment="1" applyProtection="1">
      <alignment horizontal="right" vertical="center"/>
      <protection locked="0"/>
    </xf>
    <xf numFmtId="4" fontId="22" fillId="5" borderId="0" xfId="0" applyNumberFormat="1" applyFont="1" applyFill="1" applyBorder="1" applyAlignment="1" applyProtection="1">
      <alignment horizontal="center" vertical="center"/>
      <protection locked="0"/>
    </xf>
    <xf numFmtId="0" fontId="22" fillId="4" borderId="10" xfId="0" applyNumberFormat="1" applyFont="1" applyFill="1" applyBorder="1" applyAlignment="1" applyProtection="1">
      <alignment horizontal="right" vertical="center"/>
    </xf>
    <xf numFmtId="180" fontId="22" fillId="3" borderId="32" xfId="0" applyNumberFormat="1" applyFont="1" applyFill="1" applyBorder="1" applyAlignment="1" applyProtection="1">
      <alignment vertical="center"/>
      <protection locked="0"/>
    </xf>
    <xf numFmtId="2" fontId="35" fillId="7" borderId="107" xfId="0" applyNumberFormat="1" applyFont="1" applyFill="1" applyBorder="1" applyAlignment="1">
      <alignment horizontal="center" vertical="center" wrapText="1"/>
    </xf>
    <xf numFmtId="2" fontId="50" fillId="7" borderId="62" xfId="0" applyNumberFormat="1" applyFont="1" applyFill="1" applyBorder="1" applyAlignment="1">
      <alignment horizontal="center" vertical="center"/>
    </xf>
    <xf numFmtId="2" fontId="50" fillId="7" borderId="94" xfId="0" applyNumberFormat="1" applyFont="1" applyFill="1" applyBorder="1" applyAlignment="1">
      <alignment horizontal="center" vertical="center"/>
    </xf>
    <xf numFmtId="2" fontId="50" fillId="7" borderId="108" xfId="0" applyNumberFormat="1" applyFont="1" applyFill="1" applyBorder="1" applyAlignment="1">
      <alignment horizontal="center" vertical="center"/>
    </xf>
    <xf numFmtId="2" fontId="50" fillId="7" borderId="126" xfId="0" applyNumberFormat="1" applyFont="1" applyFill="1" applyBorder="1" applyAlignment="1">
      <alignment horizontal="center" vertical="center"/>
    </xf>
    <xf numFmtId="2" fontId="50" fillId="7" borderId="113" xfId="0" applyNumberFormat="1" applyFont="1" applyFill="1" applyBorder="1" applyAlignment="1">
      <alignment horizontal="center" vertical="center"/>
    </xf>
    <xf numFmtId="0" fontId="0" fillId="0" borderId="22" xfId="0" applyBorder="1" applyAlignment="1" applyProtection="1">
      <alignment horizontal="right"/>
    </xf>
    <xf numFmtId="0" fontId="0" fillId="0" borderId="7" xfId="0" applyBorder="1" applyAlignment="1" applyProtection="1">
      <alignment horizontal="right"/>
    </xf>
    <xf numFmtId="0" fontId="0" fillId="0" borderId="0" xfId="0" applyBorder="1" applyAlignment="1" applyProtection="1">
      <alignment horizontal="right"/>
    </xf>
    <xf numFmtId="0" fontId="34" fillId="0" borderId="7" xfId="0" applyFont="1" applyBorder="1" applyAlignment="1" applyProtection="1">
      <alignment vertical="center"/>
    </xf>
    <xf numFmtId="0" fontId="29" fillId="0" borderId="0" xfId="0" applyFont="1" applyFill="1" applyBorder="1" applyAlignment="1" applyProtection="1">
      <alignment horizontal="right" vertical="center"/>
    </xf>
    <xf numFmtId="0" fontId="33" fillId="4" borderId="0" xfId="0" applyFont="1" applyFill="1" applyBorder="1" applyAlignment="1" applyProtection="1">
      <alignment horizontal="right" vertical="center"/>
    </xf>
    <xf numFmtId="0" fontId="43" fillId="0" borderId="110" xfId="0" applyFont="1" applyBorder="1" applyAlignment="1">
      <alignment vertical="center"/>
    </xf>
    <xf numFmtId="0" fontId="19" fillId="0" borderId="85" xfId="8" applyFont="1" applyBorder="1" applyAlignment="1" applyProtection="1">
      <alignment vertical="center"/>
    </xf>
    <xf numFmtId="0" fontId="31" fillId="0" borderId="85" xfId="0" applyFont="1" applyBorder="1" applyAlignment="1">
      <alignment horizontal="right" vertical="center"/>
    </xf>
    <xf numFmtId="189" fontId="20" fillId="7" borderId="92" xfId="0" applyNumberFormat="1" applyFont="1" applyFill="1" applyBorder="1" applyAlignment="1">
      <alignment horizontal="left" vertical="center"/>
    </xf>
    <xf numFmtId="189" fontId="20" fillId="4" borderId="92" xfId="0" applyNumberFormat="1" applyFont="1" applyFill="1" applyBorder="1" applyAlignment="1">
      <alignment horizontal="left" vertical="center"/>
    </xf>
    <xf numFmtId="189" fontId="20" fillId="4" borderId="93" xfId="0" applyNumberFormat="1" applyFont="1" applyFill="1" applyBorder="1" applyAlignment="1">
      <alignment horizontal="left" vertical="center"/>
    </xf>
    <xf numFmtId="185" fontId="21" fillId="7" borderId="8" xfId="4" applyNumberFormat="1" applyFont="1" applyFill="1" applyBorder="1" applyAlignment="1">
      <alignment horizontal="left" vertical="center"/>
    </xf>
    <xf numFmtId="185" fontId="21" fillId="4" borderId="3" xfId="4" applyNumberFormat="1" applyFont="1" applyFill="1" applyBorder="1" applyAlignment="1">
      <alignment horizontal="left" vertical="center"/>
    </xf>
    <xf numFmtId="185" fontId="21" fillId="4" borderId="67" xfId="4" applyNumberFormat="1" applyFont="1" applyFill="1" applyBorder="1" applyAlignment="1">
      <alignment horizontal="left" vertical="center"/>
    </xf>
    <xf numFmtId="4" fontId="31" fillId="0" borderId="0" xfId="8" applyNumberFormat="1" applyFont="1" applyBorder="1" applyAlignment="1" applyProtection="1">
      <alignment horizontal="right" vertical="center"/>
    </xf>
    <xf numFmtId="0" fontId="66" fillId="0" borderId="0" xfId="0" applyFont="1" applyBorder="1" applyAlignment="1">
      <alignment vertical="center"/>
    </xf>
    <xf numFmtId="187" fontId="22" fillId="7" borderId="67" xfId="0" applyNumberFormat="1" applyFont="1" applyFill="1" applyBorder="1" applyAlignment="1">
      <alignment horizontal="right" vertical="center"/>
    </xf>
    <xf numFmtId="0" fontId="25" fillId="0" borderId="7" xfId="8" applyFont="1" applyFill="1" applyBorder="1" applyAlignment="1" applyProtection="1">
      <alignment vertical="center"/>
    </xf>
    <xf numFmtId="0" fontId="29" fillId="0" borderId="7" xfId="0" applyFont="1" applyFill="1" applyBorder="1" applyAlignment="1">
      <alignment horizontal="right" vertical="center"/>
    </xf>
    <xf numFmtId="170" fontId="19" fillId="0" borderId="9" xfId="0" applyNumberFormat="1" applyFont="1" applyFill="1" applyBorder="1" applyAlignment="1">
      <alignment horizontal="right" vertical="center"/>
    </xf>
    <xf numFmtId="0" fontId="31" fillId="7" borderId="4" xfId="8" applyFont="1" applyFill="1" applyBorder="1" applyAlignment="1" applyProtection="1">
      <alignment horizontal="left" vertical="center"/>
    </xf>
    <xf numFmtId="0" fontId="19" fillId="7" borderId="7" xfId="8" applyFont="1" applyFill="1" applyBorder="1" applyAlignment="1" applyProtection="1">
      <alignment horizontal="left" vertical="center"/>
    </xf>
    <xf numFmtId="196" fontId="22" fillId="7" borderId="71" xfId="0" applyNumberFormat="1" applyFont="1" applyFill="1" applyBorder="1" applyAlignment="1">
      <alignment horizontal="right" vertical="center"/>
    </xf>
    <xf numFmtId="0" fontId="31" fillId="7" borderId="3" xfId="8" applyFont="1" applyFill="1" applyBorder="1" applyAlignment="1" applyProtection="1">
      <alignment horizontal="left" vertical="center"/>
    </xf>
    <xf numFmtId="187" fontId="22" fillId="7" borderId="126" xfId="0" applyNumberFormat="1" applyFont="1" applyFill="1" applyBorder="1" applyAlignment="1">
      <alignment horizontal="right" vertical="center"/>
    </xf>
    <xf numFmtId="0" fontId="43" fillId="0" borderId="85" xfId="0" applyFont="1" applyBorder="1" applyAlignment="1">
      <alignment vertical="center"/>
    </xf>
    <xf numFmtId="0" fontId="20" fillId="0" borderId="85" xfId="8" applyFont="1" applyBorder="1" applyAlignment="1" applyProtection="1">
      <alignment vertical="center"/>
    </xf>
    <xf numFmtId="0" fontId="20" fillId="0" borderId="85" xfId="0" applyFont="1" applyBorder="1" applyAlignment="1">
      <alignment horizontal="right" vertical="center"/>
    </xf>
    <xf numFmtId="0" fontId="31" fillId="4" borderId="22" xfId="0" applyFont="1" applyFill="1" applyBorder="1"/>
    <xf numFmtId="14" fontId="29" fillId="0" borderId="7" xfId="0" applyNumberFormat="1" applyFont="1" applyBorder="1" applyAlignment="1" applyProtection="1">
      <alignment horizontal="left" vertical="center"/>
    </xf>
    <xf numFmtId="185" fontId="33" fillId="4" borderId="33" xfId="0" applyNumberFormat="1" applyFont="1" applyFill="1" applyBorder="1" applyAlignment="1" applyProtection="1">
      <alignment horizontal="right" vertical="center"/>
    </xf>
    <xf numFmtId="185" fontId="33" fillId="4" borderId="20" xfId="0" applyNumberFormat="1" applyFont="1" applyFill="1" applyBorder="1" applyAlignment="1" applyProtection="1">
      <alignment horizontal="right" vertical="center"/>
    </xf>
    <xf numFmtId="185" fontId="33" fillId="4" borderId="15" xfId="0" applyNumberFormat="1" applyFont="1" applyFill="1" applyBorder="1" applyAlignment="1" applyProtection="1">
      <alignment horizontal="right" vertical="center"/>
    </xf>
    <xf numFmtId="0" fontId="0" fillId="0" borderId="0" xfId="0" applyFill="1" applyBorder="1"/>
    <xf numFmtId="0" fontId="18" fillId="0" borderId="0" xfId="0" applyFont="1" applyFill="1" applyBorder="1" applyAlignment="1">
      <alignment horizontal="right" vertical="top"/>
    </xf>
    <xf numFmtId="0" fontId="20" fillId="0" borderId="7" xfId="0" applyFont="1" applyBorder="1" applyAlignment="1" applyProtection="1">
      <alignment horizontal="left" vertical="center"/>
    </xf>
    <xf numFmtId="0" fontId="40" fillId="0" borderId="0" xfId="0" applyFont="1" applyBorder="1" applyAlignment="1">
      <alignment horizontal="left" vertical="center" wrapText="1"/>
    </xf>
    <xf numFmtId="170" fontId="26" fillId="0" borderId="8" xfId="0" applyNumberFormat="1" applyFont="1" applyFill="1" applyBorder="1" applyAlignment="1">
      <alignment horizontal="right" vertical="center"/>
    </xf>
    <xf numFmtId="170" fontId="26" fillId="4" borderId="64" xfId="0" applyNumberFormat="1" applyFont="1" applyFill="1" applyBorder="1" applyAlignment="1">
      <alignment horizontal="right" vertical="center"/>
    </xf>
    <xf numFmtId="170" fontId="22" fillId="4" borderId="53" xfId="0" applyNumberFormat="1" applyFont="1" applyFill="1" applyBorder="1" applyAlignment="1">
      <alignment horizontal="left" vertical="center"/>
    </xf>
    <xf numFmtId="170" fontId="22" fillId="7" borderId="53" xfId="0" applyNumberFormat="1" applyFont="1" applyFill="1" applyBorder="1" applyAlignment="1">
      <alignment horizontal="left" vertical="center"/>
    </xf>
    <xf numFmtId="170" fontId="22" fillId="4" borderId="71" xfId="0" applyNumberFormat="1" applyFont="1" applyFill="1" applyBorder="1" applyAlignment="1">
      <alignment horizontal="left" vertical="center"/>
    </xf>
    <xf numFmtId="170" fontId="26" fillId="7" borderId="10" xfId="0" applyNumberFormat="1" applyFont="1" applyFill="1" applyBorder="1" applyAlignment="1">
      <alignment horizontal="right" vertical="center"/>
    </xf>
    <xf numFmtId="1" fontId="19" fillId="7" borderId="96" xfId="8" applyNumberFormat="1" applyFont="1" applyFill="1" applyBorder="1" applyAlignment="1" applyProtection="1">
      <alignment vertical="center"/>
    </xf>
    <xf numFmtId="1" fontId="50" fillId="7" borderId="123" xfId="0" applyNumberFormat="1" applyFont="1" applyFill="1" applyBorder="1" applyAlignment="1">
      <alignment horizontal="center" vertical="center"/>
    </xf>
    <xf numFmtId="1" fontId="50" fillId="7" borderId="106" xfId="0" applyNumberFormat="1" applyFont="1" applyFill="1" applyBorder="1" applyAlignment="1">
      <alignment horizontal="center" vertical="center"/>
    </xf>
    <xf numFmtId="1" fontId="50" fillId="7" borderId="107" xfId="0" applyNumberFormat="1" applyFont="1" applyFill="1" applyBorder="1" applyAlignment="1">
      <alignment horizontal="center" vertical="center"/>
    </xf>
    <xf numFmtId="1" fontId="50" fillId="7" borderId="104" xfId="0" applyNumberFormat="1" applyFont="1" applyFill="1" applyBorder="1" applyAlignment="1">
      <alignment horizontal="center" vertical="center"/>
    </xf>
    <xf numFmtId="1" fontId="50" fillId="7" borderId="97" xfId="0" applyNumberFormat="1" applyFont="1" applyFill="1" applyBorder="1" applyAlignment="1">
      <alignment horizontal="center" vertical="center"/>
    </xf>
    <xf numFmtId="1" fontId="50" fillId="7" borderId="30" xfId="0" applyNumberFormat="1" applyFont="1" applyFill="1" applyBorder="1" applyAlignment="1">
      <alignment horizontal="center" vertical="center"/>
    </xf>
    <xf numFmtId="1" fontId="50" fillId="7" borderId="52" xfId="0" applyNumberFormat="1" applyFont="1" applyFill="1" applyBorder="1" applyAlignment="1">
      <alignment horizontal="center" vertical="center"/>
    </xf>
    <xf numFmtId="1" fontId="50" fillId="7" borderId="31" xfId="0" applyNumberFormat="1" applyFont="1" applyFill="1" applyBorder="1" applyAlignment="1">
      <alignment horizontal="center" vertical="center"/>
    </xf>
    <xf numFmtId="1" fontId="19" fillId="7" borderId="99" xfId="8" applyNumberFormat="1" applyFont="1" applyFill="1" applyBorder="1" applyAlignment="1" applyProtection="1">
      <alignment vertical="center"/>
    </xf>
    <xf numFmtId="1" fontId="19" fillId="7" borderId="105" xfId="8" applyNumberFormat="1" applyFont="1" applyFill="1" applyBorder="1" applyAlignment="1" applyProtection="1">
      <alignment horizontal="right" vertical="center"/>
    </xf>
    <xf numFmtId="1" fontId="19" fillId="7" borderId="135" xfId="8" applyNumberFormat="1" applyFont="1" applyFill="1" applyBorder="1" applyAlignment="1" applyProtection="1">
      <alignment horizontal="right" vertical="center"/>
    </xf>
    <xf numFmtId="1" fontId="35" fillId="7" borderId="64" xfId="8" applyNumberFormat="1" applyFont="1" applyFill="1" applyBorder="1" applyAlignment="1" applyProtection="1">
      <alignment horizontal="right" vertical="center"/>
    </xf>
    <xf numFmtId="49" fontId="20" fillId="7" borderId="134" xfId="8" applyNumberFormat="1" applyFont="1" applyFill="1" applyBorder="1" applyAlignment="1" applyProtection="1">
      <alignment vertical="center"/>
    </xf>
    <xf numFmtId="1" fontId="22" fillId="7" borderId="133" xfId="0" applyNumberFormat="1" applyFont="1" applyFill="1" applyBorder="1" applyAlignment="1">
      <alignment horizontal="right" vertical="center"/>
    </xf>
    <xf numFmtId="1" fontId="50" fillId="0" borderId="30" xfId="0" applyNumberFormat="1" applyFont="1" applyBorder="1" applyAlignment="1">
      <alignment horizontal="center" vertical="center"/>
    </xf>
    <xf numFmtId="1" fontId="50" fillId="0" borderId="52" xfId="0" applyNumberFormat="1" applyFont="1" applyBorder="1" applyAlignment="1">
      <alignment horizontal="center" vertical="center"/>
    </xf>
    <xf numFmtId="1" fontId="50" fillId="0" borderId="73" xfId="0" applyNumberFormat="1" applyFont="1" applyBorder="1" applyAlignment="1">
      <alignment horizontal="center" vertical="center"/>
    </xf>
    <xf numFmtId="1" fontId="50" fillId="0" borderId="74" xfId="0" applyNumberFormat="1" applyFont="1" applyBorder="1" applyAlignment="1">
      <alignment horizontal="center" vertical="center"/>
    </xf>
    <xf numFmtId="1" fontId="50" fillId="0" borderId="31" xfId="0" applyNumberFormat="1" applyFont="1" applyBorder="1" applyAlignment="1">
      <alignment horizontal="center" vertical="center"/>
    </xf>
    <xf numFmtId="199" fontId="0" fillId="0" borderId="0" xfId="0" applyNumberFormat="1" applyBorder="1" applyAlignment="1">
      <alignment horizontal="left"/>
    </xf>
    <xf numFmtId="199" fontId="0" fillId="0" borderId="3" xfId="0" applyNumberFormat="1" applyBorder="1" applyAlignment="1">
      <alignment horizontal="left"/>
    </xf>
    <xf numFmtId="0" fontId="0" fillId="0" borderId="4" xfId="0" applyBorder="1" applyAlignment="1" applyProtection="1">
      <alignment vertical="top"/>
    </xf>
    <xf numFmtId="0" fontId="87" fillId="0" borderId="5" xfId="0" applyFont="1" applyBorder="1" applyAlignment="1">
      <alignment vertical="top"/>
    </xf>
    <xf numFmtId="0" fontId="40" fillId="0" borderId="6" xfId="0" applyFont="1" applyBorder="1" applyAlignment="1">
      <alignment vertical="top"/>
    </xf>
    <xf numFmtId="0" fontId="0" fillId="0" borderId="6" xfId="0" applyFill="1" applyBorder="1" applyAlignment="1">
      <alignment horizontal="right"/>
    </xf>
    <xf numFmtId="0" fontId="35" fillId="0" borderId="6" xfId="0" applyFont="1" applyFill="1" applyBorder="1" applyAlignment="1" applyProtection="1">
      <alignment horizontal="left"/>
    </xf>
    <xf numFmtId="0" fontId="35" fillId="0" borderId="6" xfId="0" applyFont="1" applyFill="1" applyBorder="1" applyAlignment="1" applyProtection="1">
      <alignment horizontal="left"/>
      <protection locked="0"/>
    </xf>
    <xf numFmtId="0" fontId="36" fillId="0" borderId="4" xfId="0" applyFont="1" applyBorder="1" applyAlignment="1">
      <alignment vertical="top"/>
    </xf>
    <xf numFmtId="0" fontId="20" fillId="0" borderId="7" xfId="0" applyFont="1" applyBorder="1"/>
    <xf numFmtId="201" fontId="0" fillId="0" borderId="6" xfId="0" applyNumberFormat="1" applyFill="1" applyBorder="1" applyAlignment="1">
      <alignment horizontal="left"/>
    </xf>
    <xf numFmtId="0" fontId="36" fillId="0" borderId="6" xfId="0" applyFont="1" applyFill="1" applyBorder="1" applyAlignment="1">
      <alignment horizontal="right"/>
    </xf>
    <xf numFmtId="0" fontId="37" fillId="0" borderId="6" xfId="0" applyFont="1" applyFill="1" applyBorder="1" applyAlignment="1" applyProtection="1">
      <alignment horizontal="left"/>
    </xf>
    <xf numFmtId="0" fontId="35" fillId="0" borderId="6" xfId="0" applyFont="1" applyFill="1" applyBorder="1" applyAlignment="1">
      <alignment horizontal="left"/>
    </xf>
    <xf numFmtId="201" fontId="29" fillId="0" borderId="6" xfId="0" applyNumberFormat="1" applyFont="1" applyFill="1" applyBorder="1" applyAlignment="1">
      <alignment horizontal="left"/>
    </xf>
    <xf numFmtId="0" fontId="36" fillId="0" borderId="6" xfId="0" applyFont="1" applyFill="1" applyBorder="1" applyAlignment="1" applyProtection="1">
      <alignment horizontal="right"/>
      <protection locked="0"/>
    </xf>
    <xf numFmtId="0" fontId="29" fillId="0" borderId="62" xfId="0" applyFont="1" applyBorder="1" applyAlignment="1">
      <alignment vertical="top"/>
    </xf>
    <xf numFmtId="14" fontId="29" fillId="0" borderId="62" xfId="0" applyNumberFormat="1" applyFont="1" applyBorder="1" applyAlignment="1">
      <alignment horizontal="left" vertical="top"/>
    </xf>
    <xf numFmtId="0" fontId="29" fillId="0" borderId="62" xfId="0" applyFont="1" applyBorder="1" applyAlignment="1">
      <alignment horizontal="right" vertical="top"/>
    </xf>
    <xf numFmtId="0" fontId="37" fillId="0" borderId="83" xfId="0" applyFont="1" applyBorder="1" applyAlignment="1">
      <alignment vertical="top"/>
    </xf>
    <xf numFmtId="0" fontId="37" fillId="0" borderId="85" xfId="0" applyFont="1" applyBorder="1" applyAlignment="1">
      <alignment vertical="top"/>
    </xf>
    <xf numFmtId="0" fontId="0" fillId="0" borderId="85" xfId="0" applyBorder="1" applyAlignment="1">
      <alignment vertical="top"/>
    </xf>
    <xf numFmtId="0" fontId="36" fillId="0" borderId="85" xfId="0" applyFont="1" applyBorder="1" applyAlignment="1">
      <alignment horizontal="left"/>
    </xf>
    <xf numFmtId="0" fontId="0" fillId="7" borderId="85" xfId="0" applyFill="1" applyBorder="1"/>
    <xf numFmtId="0" fontId="46" fillId="7" borderId="85" xfId="0" applyFont="1" applyFill="1" applyBorder="1" applyAlignment="1">
      <alignment horizontal="right"/>
    </xf>
    <xf numFmtId="0" fontId="28" fillId="7" borderId="86" xfId="0" applyFont="1" applyFill="1" applyBorder="1" applyAlignment="1">
      <alignment horizontal="right"/>
    </xf>
    <xf numFmtId="0" fontId="0" fillId="0" borderId="65" xfId="0" applyBorder="1" applyAlignment="1">
      <alignment vertical="top"/>
    </xf>
    <xf numFmtId="0" fontId="90" fillId="7" borderId="62" xfId="8" applyFont="1" applyFill="1" applyBorder="1" applyAlignment="1" applyProtection="1">
      <alignment vertical="center"/>
    </xf>
    <xf numFmtId="196" fontId="22" fillId="0" borderId="113" xfId="0" applyNumberFormat="1" applyFont="1" applyFill="1" applyBorder="1" applyAlignment="1">
      <alignment horizontal="right" vertical="center"/>
    </xf>
    <xf numFmtId="171" fontId="22" fillId="7" borderId="53" xfId="0" applyNumberFormat="1" applyFont="1" applyFill="1" applyBorder="1" applyAlignment="1">
      <alignment horizontal="right" vertical="center"/>
    </xf>
    <xf numFmtId="171" fontId="22" fillId="0" borderId="53" xfId="0" applyNumberFormat="1" applyFont="1" applyFill="1" applyBorder="1" applyAlignment="1">
      <alignment horizontal="right" vertical="center"/>
    </xf>
    <xf numFmtId="171" fontId="22" fillId="0" borderId="71" xfId="0" applyNumberFormat="1" applyFont="1" applyFill="1" applyBorder="1" applyAlignment="1">
      <alignment horizontal="right" vertical="center"/>
    </xf>
    <xf numFmtId="0" fontId="0" fillId="4" borderId="62" xfId="0" applyFill="1" applyBorder="1" applyAlignment="1">
      <alignment vertical="center"/>
    </xf>
    <xf numFmtId="0" fontId="26" fillId="7" borderId="0" xfId="8" applyFont="1" applyFill="1" applyBorder="1" applyAlignment="1" applyProtection="1">
      <alignment horizontal="right" vertical="center"/>
    </xf>
    <xf numFmtId="0" fontId="0" fillId="4" borderId="69" xfId="0" applyFill="1" applyBorder="1" applyAlignment="1">
      <alignment horizontal="center" vertical="center"/>
    </xf>
    <xf numFmtId="0" fontId="0" fillId="4" borderId="111" xfId="0" applyFill="1" applyBorder="1" applyAlignment="1">
      <alignment horizontal="center" vertical="center"/>
    </xf>
    <xf numFmtId="0" fontId="0" fillId="4" borderId="68" xfId="0" applyFill="1" applyBorder="1" applyAlignment="1">
      <alignment horizontal="center" vertical="center"/>
    </xf>
    <xf numFmtId="170" fontId="19" fillId="0" borderId="112" xfId="0" applyNumberFormat="1" applyFont="1" applyFill="1" applyBorder="1" applyAlignment="1">
      <alignment horizontal="right" vertical="center"/>
    </xf>
    <xf numFmtId="0" fontId="29" fillId="7" borderId="0" xfId="0" applyFont="1" applyFill="1" applyBorder="1" applyAlignment="1">
      <alignment vertical="center"/>
    </xf>
    <xf numFmtId="0" fontId="0" fillId="0" borderId="85" xfId="0" applyBorder="1"/>
    <xf numFmtId="0" fontId="28" fillId="0" borderId="85" xfId="0" applyFont="1" applyFill="1" applyBorder="1" applyAlignment="1">
      <alignment horizontal="left" vertical="top"/>
    </xf>
    <xf numFmtId="0" fontId="0" fillId="7" borderId="85" xfId="0" applyFill="1" applyBorder="1" applyAlignment="1">
      <alignment vertical="top"/>
    </xf>
    <xf numFmtId="0" fontId="35" fillId="7" borderId="86" xfId="0" applyFont="1" applyFill="1" applyBorder="1" applyAlignment="1">
      <alignment horizontal="right"/>
    </xf>
    <xf numFmtId="0" fontId="29" fillId="0" borderId="65" xfId="0" applyFont="1" applyBorder="1" applyAlignment="1">
      <alignment vertical="top"/>
    </xf>
    <xf numFmtId="0" fontId="20" fillId="7" borderId="133" xfId="8" applyFont="1" applyFill="1" applyBorder="1" applyAlignment="1" applyProtection="1">
      <alignment horizontal="right" vertical="center"/>
    </xf>
    <xf numFmtId="3" fontId="20" fillId="0" borderId="30" xfId="0" applyNumberFormat="1" applyFont="1" applyBorder="1" applyAlignment="1">
      <alignment horizontal="center" vertical="center"/>
    </xf>
    <xf numFmtId="3" fontId="20" fillId="0" borderId="52" xfId="0" applyNumberFormat="1" applyFont="1" applyBorder="1" applyAlignment="1">
      <alignment horizontal="center" vertical="center"/>
    </xf>
    <xf numFmtId="3" fontId="20" fillId="0" borderId="73" xfId="0" applyNumberFormat="1" applyFont="1" applyBorder="1" applyAlignment="1">
      <alignment horizontal="center" vertical="center"/>
    </xf>
    <xf numFmtId="3" fontId="20" fillId="0" borderId="74" xfId="0" applyNumberFormat="1" applyFont="1" applyBorder="1" applyAlignment="1">
      <alignment horizontal="center" vertical="center"/>
    </xf>
    <xf numFmtId="3" fontId="20" fillId="0" borderId="31" xfId="0" applyNumberFormat="1" applyFont="1" applyBorder="1" applyAlignment="1">
      <alignment horizontal="center" vertical="center"/>
    </xf>
    <xf numFmtId="0" fontId="20" fillId="0" borderId="0" xfId="8" applyFont="1" applyFill="1" applyBorder="1" applyAlignment="1" applyProtection="1">
      <alignment vertical="center"/>
    </xf>
    <xf numFmtId="1" fontId="29" fillId="3" borderId="18" xfId="0" applyNumberFormat="1" applyFont="1" applyFill="1" applyBorder="1" applyAlignment="1" applyProtection="1">
      <alignment horizontal="right" vertical="center"/>
      <protection locked="0"/>
    </xf>
    <xf numFmtId="189" fontId="29" fillId="4" borderId="18" xfId="0" applyNumberFormat="1" applyFont="1" applyFill="1" applyBorder="1" applyAlignment="1" applyProtection="1">
      <alignment horizontal="right" vertical="center"/>
    </xf>
    <xf numFmtId="166" fontId="29" fillId="4" borderId="18" xfId="0" applyNumberFormat="1" applyFont="1" applyFill="1" applyBorder="1" applyAlignment="1" applyProtection="1">
      <alignment horizontal="right" vertical="center"/>
    </xf>
    <xf numFmtId="0" fontId="31" fillId="7" borderId="100" xfId="8" applyFont="1" applyFill="1" applyBorder="1" applyAlignment="1" applyProtection="1">
      <alignment horizontal="left" vertical="center"/>
    </xf>
    <xf numFmtId="0" fontId="35" fillId="7" borderId="123" xfId="0" applyFont="1" applyFill="1" applyBorder="1" applyAlignment="1">
      <alignment vertical="center"/>
    </xf>
    <xf numFmtId="0" fontId="22" fillId="7" borderId="0" xfId="0" applyFont="1" applyFill="1" applyBorder="1" applyAlignment="1">
      <alignment vertical="center"/>
    </xf>
    <xf numFmtId="1" fontId="20" fillId="7" borderId="0" xfId="0" applyNumberFormat="1" applyFont="1" applyFill="1" applyBorder="1" applyAlignment="1">
      <alignment vertical="center"/>
    </xf>
    <xf numFmtId="1" fontId="22" fillId="7" borderId="62" xfId="0" applyNumberFormat="1" applyFont="1" applyFill="1" applyBorder="1" applyAlignment="1">
      <alignment vertical="center"/>
    </xf>
    <xf numFmtId="1" fontId="20" fillId="0" borderId="0" xfId="0" applyNumberFormat="1" applyFont="1" applyFill="1" applyBorder="1" applyAlignment="1">
      <alignment vertical="center"/>
    </xf>
    <xf numFmtId="1" fontId="22" fillId="7" borderId="85" xfId="8" applyNumberFormat="1" applyFont="1" applyFill="1" applyBorder="1" applyAlignment="1" applyProtection="1">
      <alignment vertical="center"/>
    </xf>
    <xf numFmtId="1" fontId="22" fillId="7" borderId="0" xfId="8" applyNumberFormat="1" applyFont="1" applyFill="1" applyBorder="1" applyAlignment="1">
      <alignment vertical="center"/>
    </xf>
    <xf numFmtId="1" fontId="22" fillId="7" borderId="0" xfId="8" applyNumberFormat="1" applyFont="1" applyFill="1" applyBorder="1" applyAlignment="1" applyProtection="1">
      <alignment vertical="center"/>
    </xf>
    <xf numFmtId="1" fontId="22" fillId="7" borderId="7" xfId="8" applyNumberFormat="1" applyFont="1" applyFill="1" applyBorder="1" applyAlignment="1" applyProtection="1">
      <alignment vertical="center"/>
    </xf>
    <xf numFmtId="1" fontId="20" fillId="7" borderId="7" xfId="8" applyNumberFormat="1" applyFont="1" applyFill="1" applyBorder="1" applyAlignment="1" applyProtection="1">
      <alignment vertical="center"/>
    </xf>
    <xf numFmtId="1" fontId="35" fillId="7" borderId="30" xfId="8" applyNumberFormat="1" applyFont="1" applyFill="1" applyBorder="1" applyAlignment="1" applyProtection="1">
      <alignment vertical="center"/>
    </xf>
    <xf numFmtId="49" fontId="20" fillId="7" borderId="7" xfId="0" applyNumberFormat="1" applyFont="1" applyFill="1" applyBorder="1" applyAlignment="1">
      <alignment vertical="center"/>
    </xf>
    <xf numFmtId="49" fontId="20" fillId="7" borderId="30" xfId="8" applyNumberFormat="1" applyFont="1" applyFill="1" applyBorder="1" applyAlignment="1" applyProtection="1">
      <alignment vertical="center"/>
    </xf>
    <xf numFmtId="1" fontId="35" fillId="7" borderId="0" xfId="8" applyNumberFormat="1" applyFont="1" applyFill="1" applyBorder="1" applyAlignment="1" applyProtection="1">
      <alignment vertical="center"/>
    </xf>
    <xf numFmtId="0" fontId="35" fillId="7" borderId="62" xfId="8" applyFont="1" applyFill="1" applyBorder="1" applyAlignment="1" applyProtection="1">
      <alignment vertical="center"/>
    </xf>
    <xf numFmtId="0" fontId="35" fillId="0" borderId="0" xfId="8" applyFont="1" applyFill="1" applyBorder="1" applyAlignment="1" applyProtection="1">
      <alignment vertical="center"/>
    </xf>
    <xf numFmtId="0" fontId="20" fillId="7" borderId="123" xfId="8" applyFont="1" applyFill="1" applyBorder="1" applyAlignment="1" applyProtection="1">
      <alignment vertical="center"/>
    </xf>
    <xf numFmtId="0" fontId="20" fillId="7" borderId="30" xfId="8" applyFont="1" applyFill="1" applyBorder="1" applyAlignment="1" applyProtection="1">
      <alignment vertical="center"/>
    </xf>
    <xf numFmtId="0" fontId="35" fillId="7" borderId="30" xfId="8" applyFont="1" applyFill="1" applyBorder="1" applyAlignment="1" applyProtection="1">
      <alignment vertical="center"/>
    </xf>
    <xf numFmtId="0" fontId="35" fillId="7" borderId="0" xfId="8" applyFont="1" applyFill="1" applyBorder="1" applyAlignment="1" applyProtection="1">
      <alignment vertical="center"/>
    </xf>
    <xf numFmtId="0" fontId="20" fillId="7" borderId="0" xfId="8" applyFont="1" applyFill="1" applyBorder="1" applyAlignment="1" applyProtection="1">
      <alignment vertical="center"/>
    </xf>
    <xf numFmtId="0" fontId="20" fillId="7" borderId="7" xfId="8" applyFont="1" applyFill="1" applyBorder="1" applyAlignment="1" applyProtection="1">
      <alignment vertical="center"/>
    </xf>
    <xf numFmtId="1" fontId="19" fillId="7" borderId="123" xfId="8" applyNumberFormat="1" applyFont="1" applyFill="1" applyBorder="1" applyAlignment="1" applyProtection="1">
      <alignment vertical="center"/>
    </xf>
    <xf numFmtId="1" fontId="19" fillId="7" borderId="124" xfId="8" applyNumberFormat="1" applyFont="1" applyFill="1" applyBorder="1" applyAlignment="1" applyProtection="1">
      <alignment vertical="center"/>
    </xf>
    <xf numFmtId="202" fontId="22" fillId="7" borderId="0" xfId="8" applyNumberFormat="1" applyFont="1" applyFill="1" applyBorder="1" applyAlignment="1" applyProtection="1">
      <alignment vertical="center"/>
    </xf>
    <xf numFmtId="177" fontId="32" fillId="0" borderId="75" xfId="0" applyNumberFormat="1" applyFont="1" applyBorder="1" applyAlignment="1" applyProtection="1">
      <alignment horizontal="right" vertical="center"/>
    </xf>
    <xf numFmtId="0" fontId="19" fillId="0" borderId="0" xfId="0" applyFont="1"/>
    <xf numFmtId="0" fontId="0" fillId="0" borderId="0" xfId="0" applyBorder="1" applyAlignment="1" applyProtection="1">
      <alignment horizontal="right" vertical="center"/>
    </xf>
    <xf numFmtId="0" fontId="16" fillId="0" borderId="0" xfId="0" applyFont="1" applyBorder="1" applyAlignment="1" applyProtection="1">
      <alignment horizontal="right" vertical="center"/>
    </xf>
    <xf numFmtId="185" fontId="27" fillId="4" borderId="10" xfId="6" applyNumberFormat="1" applyFont="1" applyFill="1" applyBorder="1" applyAlignment="1">
      <alignment vertical="center"/>
    </xf>
    <xf numFmtId="185" fontId="27" fillId="2" borderId="10" xfId="6" applyNumberFormat="1" applyFont="1" applyFill="1" applyBorder="1" applyAlignment="1">
      <alignment vertical="center"/>
    </xf>
    <xf numFmtId="0" fontId="0" fillId="0" borderId="11" xfId="0" applyBorder="1" applyAlignment="1">
      <alignment horizontal="centerContinuous" vertical="center" wrapText="1"/>
    </xf>
    <xf numFmtId="0" fontId="34" fillId="0" borderId="31" xfId="0" applyFont="1" applyBorder="1" applyAlignment="1">
      <alignment horizontal="centerContinuous" vertical="center"/>
    </xf>
    <xf numFmtId="0" fontId="20" fillId="0" borderId="30" xfId="0" applyFont="1" applyBorder="1" applyAlignment="1">
      <alignment horizontal="right" vertical="center"/>
    </xf>
    <xf numFmtId="49" fontId="22" fillId="0" borderId="0" xfId="0" applyNumberFormat="1" applyFont="1" applyBorder="1" applyAlignment="1"/>
    <xf numFmtId="2" fontId="22" fillId="0" borderId="0" xfId="0" applyNumberFormat="1" applyFont="1" applyBorder="1" applyAlignment="1">
      <alignment horizontal="center"/>
    </xf>
    <xf numFmtId="49" fontId="20" fillId="0" borderId="0" xfId="0" applyNumberFormat="1" applyFont="1" applyBorder="1" applyAlignment="1">
      <alignment horizontal="center"/>
    </xf>
    <xf numFmtId="206" fontId="0" fillId="0" borderId="0" xfId="0" applyNumberFormat="1"/>
    <xf numFmtId="0" fontId="22" fillId="0" borderId="30" xfId="0" applyFont="1" applyBorder="1" applyAlignment="1"/>
    <xf numFmtId="0" fontId="29" fillId="0" borderId="13" xfId="0" applyFont="1" applyBorder="1" applyAlignment="1" applyProtection="1">
      <alignment horizontal="right" vertical="center"/>
    </xf>
    <xf numFmtId="0" fontId="15" fillId="0" borderId="7" xfId="0" applyFont="1" applyBorder="1" applyAlignment="1" applyProtection="1">
      <alignment vertical="center"/>
    </xf>
    <xf numFmtId="9" fontId="15" fillId="3" borderId="24" xfId="0" applyNumberFormat="1" applyFont="1" applyFill="1" applyBorder="1" applyAlignment="1" applyProtection="1">
      <alignment vertical="center"/>
      <protection locked="0"/>
    </xf>
    <xf numFmtId="9" fontId="15" fillId="0" borderId="10" xfId="0" applyNumberFormat="1" applyFont="1" applyFill="1" applyBorder="1" applyAlignment="1" applyProtection="1">
      <alignment vertical="center"/>
    </xf>
    <xf numFmtId="0" fontId="33" fillId="0" borderId="125" xfId="8" applyFont="1" applyBorder="1" applyAlignment="1" applyProtection="1">
      <alignment horizontal="right" vertical="center"/>
    </xf>
    <xf numFmtId="0" fontId="29" fillId="0" borderId="57" xfId="8" applyFont="1" applyBorder="1" applyAlignment="1">
      <alignment horizontal="center" vertical="center"/>
    </xf>
    <xf numFmtId="0" fontId="29" fillId="0" borderId="38" xfId="8" applyFont="1" applyBorder="1" applyAlignment="1">
      <alignment horizontal="left" vertical="center"/>
    </xf>
    <xf numFmtId="0" fontId="33" fillId="0" borderId="28" xfId="8" applyFont="1" applyBorder="1" applyAlignment="1" applyProtection="1">
      <alignment horizontal="left" vertical="center"/>
    </xf>
    <xf numFmtId="0" fontId="29" fillId="0" borderId="46" xfId="8" applyFont="1" applyBorder="1" applyAlignment="1" applyProtection="1">
      <alignment vertical="center"/>
    </xf>
    <xf numFmtId="170" fontId="29" fillId="4" borderId="136" xfId="0" applyNumberFormat="1" applyFont="1" applyFill="1" applyBorder="1" applyAlignment="1" applyProtection="1">
      <alignment horizontal="right" vertical="center"/>
    </xf>
    <xf numFmtId="181" fontId="29" fillId="4" borderId="51" xfId="0" applyNumberFormat="1" applyFont="1" applyFill="1" applyBorder="1" applyAlignment="1" applyProtection="1">
      <alignment horizontal="right" vertical="center"/>
    </xf>
    <xf numFmtId="170" fontId="29" fillId="7" borderId="60" xfId="0" applyNumberFormat="1" applyFont="1" applyFill="1" applyBorder="1" applyAlignment="1" applyProtection="1">
      <alignment horizontal="right" vertical="center"/>
    </xf>
    <xf numFmtId="176" fontId="29" fillId="3" borderId="51" xfId="0" applyNumberFormat="1" applyFont="1" applyFill="1" applyBorder="1" applyAlignment="1" applyProtection="1">
      <alignment horizontal="right" vertical="center"/>
      <protection locked="0"/>
    </xf>
    <xf numFmtId="0" fontId="0" fillId="0" borderId="28" xfId="0" applyBorder="1"/>
    <xf numFmtId="173" fontId="29" fillId="4" borderId="39" xfId="0" applyNumberFormat="1" applyFont="1" applyFill="1" applyBorder="1" applyAlignment="1">
      <alignment horizontal="center" vertical="center"/>
    </xf>
    <xf numFmtId="173" fontId="29" fillId="2" borderId="39" xfId="0" applyNumberFormat="1" applyFont="1" applyFill="1" applyBorder="1" applyAlignment="1">
      <alignment horizontal="center" vertical="center"/>
    </xf>
    <xf numFmtId="3" fontId="19" fillId="0" borderId="64" xfId="0" applyNumberFormat="1" applyFont="1" applyFill="1" applyBorder="1" applyAlignment="1">
      <alignment horizontal="center" vertical="center"/>
    </xf>
    <xf numFmtId="0" fontId="0" fillId="0" borderId="0" xfId="0" applyFill="1"/>
    <xf numFmtId="0" fontId="22" fillId="3" borderId="4" xfId="0" applyFont="1" applyFill="1" applyBorder="1" applyAlignment="1" applyProtection="1">
      <alignment vertical="center"/>
      <protection locked="0"/>
    </xf>
    <xf numFmtId="196" fontId="29" fillId="4" borderId="20" xfId="0" applyNumberFormat="1" applyFont="1" applyFill="1" applyBorder="1" applyAlignment="1" applyProtection="1">
      <alignment horizontal="right" vertical="center"/>
    </xf>
    <xf numFmtId="3" fontId="19" fillId="0" borderId="10" xfId="0" applyNumberFormat="1" applyFont="1" applyFill="1" applyBorder="1" applyAlignment="1">
      <alignment horizontal="center" vertical="center"/>
    </xf>
    <xf numFmtId="0" fontId="21" fillId="0" borderId="52" xfId="0" applyFont="1" applyBorder="1" applyAlignment="1" applyProtection="1">
      <alignment horizontal="center" vertical="center"/>
    </xf>
    <xf numFmtId="0" fontId="92" fillId="0" borderId="52" xfId="0" applyFont="1" applyBorder="1" applyAlignment="1" applyProtection="1">
      <alignment horizontal="center" vertical="center"/>
    </xf>
    <xf numFmtId="0" fontId="20" fillId="0" borderId="63" xfId="8" applyFont="1" applyFill="1" applyBorder="1" applyAlignment="1" applyProtection="1">
      <alignment vertical="center"/>
    </xf>
    <xf numFmtId="0" fontId="40" fillId="0" borderId="65" xfId="0" applyFont="1" applyBorder="1" applyAlignment="1">
      <alignment vertical="center"/>
    </xf>
    <xf numFmtId="0" fontId="40" fillId="0" borderId="62" xfId="0" applyFont="1" applyBorder="1" applyAlignment="1">
      <alignment vertical="center"/>
    </xf>
    <xf numFmtId="0" fontId="40" fillId="0" borderId="62" xfId="0" applyFont="1" applyBorder="1" applyAlignment="1">
      <alignment horizontal="right" vertical="center"/>
    </xf>
    <xf numFmtId="0" fontId="53" fillId="0" borderId="3" xfId="0" applyFont="1" applyBorder="1" applyAlignment="1" applyProtection="1">
      <alignment vertical="center"/>
    </xf>
    <xf numFmtId="177" fontId="53" fillId="0" borderId="18" xfId="0" applyNumberFormat="1" applyFont="1" applyBorder="1" applyAlignment="1" applyProtection="1">
      <alignment horizontal="right" vertical="center"/>
    </xf>
    <xf numFmtId="0" fontId="53" fillId="0" borderId="0" xfId="0" applyFont="1" applyAlignment="1" applyProtection="1">
      <alignment vertical="center"/>
    </xf>
    <xf numFmtId="0" fontId="0" fillId="0" borderId="0" xfId="0" applyAlignment="1">
      <alignment wrapText="1"/>
    </xf>
    <xf numFmtId="0" fontId="46" fillId="0" borderId="0" xfId="0" applyFont="1"/>
    <xf numFmtId="0" fontId="40" fillId="0" borderId="0" xfId="0" applyFont="1" applyProtection="1"/>
    <xf numFmtId="0" fontId="93" fillId="0" borderId="0" xfId="0" applyFont="1" applyBorder="1" applyAlignment="1">
      <alignment vertical="center"/>
    </xf>
    <xf numFmtId="0" fontId="29" fillId="8" borderId="0" xfId="0" applyFont="1" applyFill="1" applyBorder="1" applyAlignment="1" applyProtection="1">
      <alignment vertical="center"/>
      <protection locked="0"/>
    </xf>
    <xf numFmtId="1" fontId="19" fillId="0" borderId="63" xfId="0" applyNumberFormat="1" applyFont="1" applyFill="1" applyBorder="1" applyAlignment="1">
      <alignment horizontal="center" vertical="center"/>
    </xf>
    <xf numFmtId="2" fontId="36" fillId="0" borderId="63" xfId="0" applyNumberFormat="1" applyFont="1" applyFill="1" applyBorder="1" applyAlignment="1">
      <alignment horizontal="center" vertical="center"/>
    </xf>
    <xf numFmtId="3" fontId="19" fillId="0" borderId="63" xfId="0" applyNumberFormat="1" applyFont="1" applyFill="1" applyBorder="1" applyAlignment="1">
      <alignment horizontal="center" vertical="center"/>
    </xf>
    <xf numFmtId="1" fontId="50" fillId="7" borderId="111" xfId="0" applyNumberFormat="1" applyFont="1" applyFill="1" applyBorder="1" applyAlignment="1">
      <alignment horizontal="center" vertical="center"/>
    </xf>
    <xf numFmtId="1" fontId="50" fillId="7" borderId="112" xfId="0" applyNumberFormat="1" applyFont="1" applyFill="1" applyBorder="1" applyAlignment="1">
      <alignment horizontal="center" vertical="center"/>
    </xf>
    <xf numFmtId="0" fontId="22" fillId="0" borderId="5" xfId="0" applyFont="1" applyBorder="1" applyAlignment="1">
      <alignment vertical="center"/>
    </xf>
    <xf numFmtId="0" fontId="22" fillId="0" borderId="6" xfId="0" applyFont="1" applyBorder="1" applyAlignment="1"/>
    <xf numFmtId="1" fontId="50" fillId="7" borderId="6" xfId="0" applyNumberFormat="1" applyFont="1" applyFill="1" applyBorder="1" applyAlignment="1">
      <alignment horizontal="center" vertical="center"/>
    </xf>
    <xf numFmtId="2" fontId="22" fillId="0" borderId="6" xfId="0" applyNumberFormat="1" applyFont="1" applyBorder="1" applyAlignment="1">
      <alignment horizontal="center" vertical="center"/>
    </xf>
    <xf numFmtId="0" fontId="43" fillId="0" borderId="0" xfId="0" applyFont="1" applyBorder="1"/>
    <xf numFmtId="0" fontId="31" fillId="0" borderId="0" xfId="8" applyFont="1" applyFill="1" applyBorder="1" applyAlignment="1" applyProtection="1">
      <alignment horizontal="right" vertical="center"/>
    </xf>
    <xf numFmtId="0" fontId="49" fillId="7" borderId="83" xfId="0" applyFont="1" applyFill="1" applyBorder="1" applyAlignment="1">
      <alignment horizontal="left" vertical="center"/>
    </xf>
    <xf numFmtId="0" fontId="49" fillId="7" borderId="85" xfId="0" applyFont="1" applyFill="1" applyBorder="1" applyAlignment="1">
      <alignment horizontal="right" vertical="center"/>
    </xf>
    <xf numFmtId="0" fontId="42" fillId="7" borderId="83" xfId="0" applyFont="1" applyFill="1" applyBorder="1" applyAlignment="1">
      <alignment vertical="center" wrapText="1"/>
    </xf>
    <xf numFmtId="0" fontId="42" fillId="7" borderId="85" xfId="0" applyFont="1" applyFill="1" applyBorder="1" applyAlignment="1">
      <alignment vertical="center" wrapText="1"/>
    </xf>
    <xf numFmtId="0" fontId="20" fillId="7" borderId="86" xfId="0" applyFont="1" applyFill="1" applyBorder="1" applyAlignment="1">
      <alignment horizontal="right" vertical="center" wrapText="1"/>
    </xf>
    <xf numFmtId="2" fontId="22" fillId="0" borderId="100" xfId="0" applyNumberFormat="1" applyFont="1" applyBorder="1" applyAlignment="1">
      <alignment horizontal="left" vertical="center"/>
    </xf>
    <xf numFmtId="2" fontId="40" fillId="0" borderId="62" xfId="0" applyNumberFormat="1" applyFont="1" applyBorder="1" applyAlignment="1">
      <alignment horizontal="center" vertical="center"/>
    </xf>
    <xf numFmtId="2" fontId="40" fillId="0" borderId="62" xfId="0" applyNumberFormat="1" applyFont="1" applyBorder="1" applyAlignment="1">
      <alignment vertical="center"/>
    </xf>
    <xf numFmtId="2" fontId="40" fillId="0" borderId="66" xfId="0" applyNumberFormat="1" applyFont="1" applyBorder="1" applyAlignment="1">
      <alignment vertical="center"/>
    </xf>
    <xf numFmtId="0" fontId="22" fillId="0" borderId="119" xfId="0" applyFont="1" applyBorder="1" applyAlignment="1">
      <alignment vertical="center"/>
    </xf>
    <xf numFmtId="2" fontId="22" fillId="0" borderId="65" xfId="0" applyNumberFormat="1" applyFont="1" applyBorder="1" applyAlignment="1">
      <alignment horizontal="left" vertical="center"/>
    </xf>
    <xf numFmtId="166" fontId="19" fillId="0" borderId="123" xfId="0" applyNumberFormat="1" applyFont="1" applyBorder="1" applyAlignment="1">
      <alignment horizontal="center" vertical="center"/>
    </xf>
    <xf numFmtId="166" fontId="19" fillId="0" borderId="106" xfId="0" applyNumberFormat="1" applyFont="1" applyBorder="1" applyAlignment="1">
      <alignment horizontal="center" vertical="center"/>
    </xf>
    <xf numFmtId="166" fontId="19" fillId="0" borderId="107" xfId="0" applyNumberFormat="1" applyFont="1" applyBorder="1" applyAlignment="1">
      <alignment horizontal="center" vertical="center"/>
    </xf>
    <xf numFmtId="166" fontId="19" fillId="0" borderId="104" xfId="0" applyNumberFormat="1" applyFont="1" applyBorder="1" applyAlignment="1">
      <alignment horizontal="center" vertical="center"/>
    </xf>
    <xf numFmtId="166" fontId="19" fillId="0" borderId="97" xfId="0" applyNumberFormat="1" applyFont="1" applyBorder="1" applyAlignment="1">
      <alignment horizontal="center" vertical="center"/>
    </xf>
    <xf numFmtId="1" fontId="19" fillId="0" borderId="30" xfId="0" applyNumberFormat="1" applyFont="1" applyBorder="1" applyAlignment="1">
      <alignment horizontal="center" vertical="center"/>
    </xf>
    <xf numFmtId="1" fontId="19" fillId="0" borderId="31" xfId="0" applyNumberFormat="1" applyFont="1" applyBorder="1" applyAlignment="1">
      <alignment horizontal="center" vertical="center"/>
    </xf>
    <xf numFmtId="0" fontId="22" fillId="4" borderId="83" xfId="0" applyFont="1" applyFill="1" applyBorder="1" applyAlignment="1">
      <alignment horizontal="left" vertical="center"/>
    </xf>
    <xf numFmtId="0" fontId="22" fillId="4" borderId="85" xfId="0" applyFont="1" applyFill="1" applyBorder="1" applyAlignment="1">
      <alignment horizontal="left" vertical="center"/>
    </xf>
    <xf numFmtId="0" fontId="22" fillId="0" borderId="127" xfId="0" applyFont="1" applyBorder="1" applyAlignment="1">
      <alignment horizontal="right"/>
    </xf>
    <xf numFmtId="0" fontId="87" fillId="0" borderId="0" xfId="0" applyFont="1" applyBorder="1" applyAlignment="1">
      <alignment vertical="center"/>
    </xf>
    <xf numFmtId="0" fontId="87" fillId="7" borderId="134" xfId="8" applyFont="1" applyFill="1" applyBorder="1" applyAlignment="1" applyProtection="1">
      <alignment vertical="center"/>
    </xf>
    <xf numFmtId="0" fontId="87" fillId="7" borderId="30" xfId="8" applyFont="1" applyFill="1" applyBorder="1" applyAlignment="1" applyProtection="1">
      <alignment vertical="center"/>
    </xf>
    <xf numFmtId="0" fontId="87" fillId="7" borderId="133" xfId="8" applyFont="1" applyFill="1" applyBorder="1" applyAlignment="1" applyProtection="1">
      <alignment horizontal="right" vertical="center"/>
    </xf>
    <xf numFmtId="3" fontId="87" fillId="0" borderId="30" xfId="0" applyNumberFormat="1" applyFont="1" applyBorder="1" applyAlignment="1">
      <alignment horizontal="center" vertical="center"/>
    </xf>
    <xf numFmtId="3" fontId="87" fillId="0" borderId="52" xfId="0" applyNumberFormat="1" applyFont="1" applyBorder="1" applyAlignment="1">
      <alignment horizontal="center" vertical="center"/>
    </xf>
    <xf numFmtId="3" fontId="87" fillId="0" borderId="73" xfId="0" applyNumberFormat="1" applyFont="1" applyBorder="1" applyAlignment="1">
      <alignment horizontal="center" vertical="center"/>
    </xf>
    <xf numFmtId="3" fontId="87" fillId="0" borderId="74" xfId="0" applyNumberFormat="1" applyFont="1" applyBorder="1" applyAlignment="1">
      <alignment horizontal="center" vertical="center"/>
    </xf>
    <xf numFmtId="3" fontId="87" fillId="0" borderId="31" xfId="0" applyNumberFormat="1" applyFont="1" applyBorder="1" applyAlignment="1">
      <alignment horizontal="center" vertical="center"/>
    </xf>
    <xf numFmtId="0" fontId="95" fillId="0" borderId="0" xfId="0" applyFont="1"/>
    <xf numFmtId="0" fontId="87" fillId="7" borderId="99" xfId="8" applyFont="1" applyFill="1" applyBorder="1" applyAlignment="1" applyProtection="1">
      <alignment vertical="center"/>
    </xf>
    <xf numFmtId="0" fontId="87" fillId="7" borderId="124" xfId="8" applyFont="1" applyFill="1" applyBorder="1" applyAlignment="1" applyProtection="1">
      <alignment vertical="center"/>
    </xf>
    <xf numFmtId="0" fontId="87" fillId="7" borderId="135" xfId="8" applyFont="1" applyFill="1" applyBorder="1" applyAlignment="1" applyProtection="1">
      <alignment horizontal="right" vertical="center"/>
    </xf>
    <xf numFmtId="3" fontId="87" fillId="0" borderId="124" xfId="0" applyNumberFormat="1" applyFont="1" applyBorder="1" applyAlignment="1">
      <alignment horizontal="center" vertical="center"/>
    </xf>
    <xf numFmtId="3" fontId="87" fillId="0" borderId="121" xfId="0" applyNumberFormat="1" applyFont="1" applyBorder="1" applyAlignment="1">
      <alignment horizontal="center" vertical="center"/>
    </xf>
    <xf numFmtId="3" fontId="87" fillId="0" borderId="122" xfId="0" applyNumberFormat="1" applyFont="1" applyBorder="1" applyAlignment="1">
      <alignment horizontal="center" vertical="center"/>
    </xf>
    <xf numFmtId="3" fontId="87" fillId="0" borderId="137" xfId="0" applyNumberFormat="1" applyFont="1" applyBorder="1" applyAlignment="1">
      <alignment horizontal="center" vertical="center"/>
    </xf>
    <xf numFmtId="3" fontId="87" fillId="0" borderId="138" xfId="0" applyNumberFormat="1" applyFont="1" applyBorder="1" applyAlignment="1">
      <alignment horizontal="center" vertical="center"/>
    </xf>
    <xf numFmtId="0" fontId="87" fillId="0" borderId="0" xfId="0" applyFont="1" applyAlignment="1">
      <alignment vertical="center"/>
    </xf>
    <xf numFmtId="0" fontId="87" fillId="7" borderId="63" xfId="8" applyFont="1" applyFill="1" applyBorder="1" applyAlignment="1" applyProtection="1">
      <alignment vertical="center"/>
    </xf>
    <xf numFmtId="0" fontId="87" fillId="7" borderId="0" xfId="8" applyFont="1" applyFill="1" applyBorder="1" applyAlignment="1" applyProtection="1">
      <alignment vertical="center"/>
    </xf>
    <xf numFmtId="0" fontId="87" fillId="7" borderId="64" xfId="0" applyFont="1" applyFill="1" applyBorder="1" applyAlignment="1">
      <alignment horizontal="right" vertical="center"/>
    </xf>
    <xf numFmtId="3" fontId="87" fillId="7" borderId="0" xfId="0" applyNumberFormat="1" applyFont="1" applyFill="1" applyBorder="1" applyAlignment="1">
      <alignment horizontal="center" vertical="center"/>
    </xf>
    <xf numFmtId="3" fontId="87" fillId="7" borderId="8" xfId="0" applyNumberFormat="1" applyFont="1" applyFill="1" applyBorder="1" applyAlignment="1">
      <alignment horizontal="center" vertical="center"/>
    </xf>
    <xf numFmtId="3" fontId="87" fillId="7" borderId="67" xfId="0" applyNumberFormat="1" applyFont="1" applyFill="1" applyBorder="1" applyAlignment="1">
      <alignment horizontal="center" vertical="center"/>
    </xf>
    <xf numFmtId="3" fontId="87" fillId="7" borderId="68" xfId="0" applyNumberFormat="1" applyFont="1" applyFill="1" applyBorder="1" applyAlignment="1">
      <alignment horizontal="center" vertical="center"/>
    </xf>
    <xf numFmtId="3" fontId="87" fillId="7" borderId="10" xfId="0" applyNumberFormat="1" applyFont="1" applyFill="1" applyBorder="1" applyAlignment="1">
      <alignment horizontal="center" vertical="center"/>
    </xf>
    <xf numFmtId="0" fontId="22" fillId="7" borderId="66" xfId="0" applyFont="1" applyFill="1" applyBorder="1" applyAlignment="1">
      <alignment horizontal="right" vertical="center"/>
    </xf>
    <xf numFmtId="0" fontId="20" fillId="7" borderId="70" xfId="0" applyFont="1" applyFill="1" applyBorder="1" applyAlignment="1">
      <alignment horizontal="right" vertical="center"/>
    </xf>
    <xf numFmtId="0" fontId="43" fillId="7" borderId="64" xfId="8" applyFont="1" applyFill="1" applyBorder="1" applyAlignment="1" applyProtection="1">
      <alignment horizontal="right" vertical="center"/>
    </xf>
    <xf numFmtId="1" fontId="19" fillId="7" borderId="65" xfId="0" applyNumberFormat="1" applyFont="1" applyFill="1" applyBorder="1" applyAlignment="1">
      <alignment vertical="center"/>
    </xf>
    <xf numFmtId="1" fontId="19" fillId="7" borderId="63" xfId="0" applyNumberFormat="1" applyFont="1" applyFill="1" applyBorder="1" applyAlignment="1">
      <alignment vertical="center"/>
    </xf>
    <xf numFmtId="0" fontId="36" fillId="4" borderId="0" xfId="0" applyFont="1" applyFill="1" applyAlignment="1">
      <alignment vertical="center"/>
    </xf>
    <xf numFmtId="0" fontId="22" fillId="4" borderId="0" xfId="0" applyFont="1" applyFill="1" applyAlignment="1"/>
    <xf numFmtId="0" fontId="0" fillId="4" borderId="0" xfId="0" applyFill="1" applyAlignment="1"/>
    <xf numFmtId="0" fontId="22" fillId="4" borderId="0" xfId="0" applyFont="1" applyFill="1" applyBorder="1" applyAlignment="1" applyProtection="1">
      <alignment horizontal="centerContinuous" vertical="center"/>
    </xf>
    <xf numFmtId="0" fontId="31" fillId="0" borderId="30" xfId="0" applyFont="1" applyBorder="1" applyAlignment="1">
      <alignment vertical="center"/>
    </xf>
    <xf numFmtId="0" fontId="22" fillId="4" borderId="30" xfId="0" applyFont="1" applyFill="1" applyBorder="1" applyAlignment="1" applyProtection="1">
      <alignment horizontal="left" vertical="center"/>
    </xf>
    <xf numFmtId="0" fontId="29" fillId="4" borderId="30" xfId="0" applyFont="1" applyFill="1" applyBorder="1" applyAlignment="1" applyProtection="1">
      <alignment horizontal="left" vertical="center"/>
    </xf>
    <xf numFmtId="9" fontId="20" fillId="2" borderId="11" xfId="0" applyNumberFormat="1" applyFont="1" applyFill="1" applyBorder="1" applyAlignment="1" applyProtection="1">
      <alignment horizontal="centerContinuous" vertical="center"/>
    </xf>
    <xf numFmtId="9" fontId="20" fillId="4" borderId="11" xfId="0" applyNumberFormat="1" applyFont="1" applyFill="1" applyBorder="1" applyAlignment="1" applyProtection="1">
      <alignment horizontal="centerContinuous" vertical="center"/>
    </xf>
    <xf numFmtId="1" fontId="27" fillId="4" borderId="13" xfId="6" applyNumberFormat="1" applyFont="1" applyFill="1" applyBorder="1" applyAlignment="1">
      <alignment vertical="center"/>
    </xf>
    <xf numFmtId="173" fontId="31" fillId="4" borderId="31" xfId="6" applyNumberFormat="1" applyFont="1" applyFill="1" applyBorder="1" applyAlignment="1">
      <alignment horizontal="right" vertical="center"/>
    </xf>
    <xf numFmtId="173" fontId="31" fillId="2" borderId="31" xfId="6" applyNumberFormat="1" applyFont="1" applyFill="1" applyBorder="1" applyAlignment="1">
      <alignment horizontal="right" vertical="center"/>
    </xf>
    <xf numFmtId="170" fontId="29" fillId="4" borderId="45" xfId="0" applyNumberFormat="1" applyFont="1" applyFill="1" applyBorder="1" applyAlignment="1" applyProtection="1">
      <alignment horizontal="right" vertical="center"/>
    </xf>
    <xf numFmtId="9" fontId="15" fillId="0" borderId="10" xfId="0" applyNumberFormat="1" applyFont="1" applyFill="1" applyBorder="1" applyAlignment="1" applyProtection="1">
      <alignment horizontal="right" vertical="center"/>
    </xf>
    <xf numFmtId="9" fontId="15" fillId="3" borderId="24" xfId="0" applyNumberFormat="1" applyFont="1" applyFill="1" applyBorder="1" applyAlignment="1" applyProtection="1">
      <alignment horizontal="right" vertical="center"/>
      <protection locked="0"/>
    </xf>
    <xf numFmtId="208" fontId="29" fillId="0" borderId="33" xfId="0" applyNumberFormat="1" applyFont="1" applyFill="1" applyBorder="1" applyAlignment="1" applyProtection="1">
      <alignment horizontal="right" vertical="center"/>
    </xf>
    <xf numFmtId="0" fontId="29" fillId="3" borderId="6" xfId="8" applyFont="1" applyFill="1" applyBorder="1" applyAlignment="1" applyProtection="1">
      <alignment vertical="center"/>
      <protection locked="0"/>
    </xf>
    <xf numFmtId="170" fontId="29" fillId="3" borderId="58" xfId="0" applyNumberFormat="1" applyFont="1" applyFill="1" applyBorder="1" applyAlignment="1" applyProtection="1">
      <alignment horizontal="right" vertical="center"/>
      <protection locked="0"/>
    </xf>
    <xf numFmtId="170" fontId="29" fillId="4" borderId="58" xfId="0" applyNumberFormat="1" applyFont="1" applyFill="1" applyBorder="1" applyAlignment="1" applyProtection="1">
      <alignment horizontal="right" vertical="center"/>
    </xf>
    <xf numFmtId="179" fontId="29" fillId="3" borderId="76" xfId="0" applyNumberFormat="1" applyFont="1" applyFill="1" applyBorder="1" applyAlignment="1" applyProtection="1">
      <alignment horizontal="right" vertical="center"/>
      <protection locked="0"/>
    </xf>
    <xf numFmtId="170" fontId="29" fillId="4" borderId="17" xfId="0" applyNumberFormat="1" applyFont="1" applyFill="1" applyBorder="1" applyAlignment="1" applyProtection="1">
      <alignment horizontal="right" vertical="center"/>
    </xf>
    <xf numFmtId="170" fontId="29" fillId="2" borderId="17" xfId="0" applyNumberFormat="1" applyFont="1" applyFill="1" applyBorder="1" applyAlignment="1" applyProtection="1">
      <alignment horizontal="right" vertical="center"/>
    </xf>
    <xf numFmtId="0" fontId="30" fillId="0" borderId="0" xfId="0" applyFont="1" applyAlignment="1" applyProtection="1">
      <alignment horizontal="right" vertical="center"/>
    </xf>
    <xf numFmtId="9" fontId="30" fillId="0" borderId="0" xfId="0" applyNumberFormat="1" applyFont="1" applyAlignment="1" applyProtection="1">
      <alignment horizontal="right" vertical="center"/>
    </xf>
    <xf numFmtId="0" fontId="91" fillId="0" borderId="0" xfId="0" applyFont="1" applyAlignment="1" applyProtection="1">
      <alignment horizontal="right" vertical="center"/>
    </xf>
    <xf numFmtId="205" fontId="30" fillId="0" borderId="0" xfId="0" applyNumberFormat="1" applyFont="1" applyAlignment="1" applyProtection="1">
      <alignment horizontal="right" vertical="center"/>
    </xf>
    <xf numFmtId="3" fontId="20" fillId="4" borderId="37" xfId="0" applyNumberFormat="1" applyFont="1" applyFill="1" applyBorder="1" applyAlignment="1" applyProtection="1">
      <alignment vertical="center"/>
    </xf>
    <xf numFmtId="3" fontId="20" fillId="4" borderId="30" xfId="0" applyNumberFormat="1" applyFont="1" applyFill="1" applyBorder="1" applyAlignment="1" applyProtection="1">
      <alignment vertical="center"/>
    </xf>
    <xf numFmtId="3" fontId="20" fillId="4" borderId="1" xfId="0" applyNumberFormat="1" applyFont="1" applyFill="1" applyBorder="1" applyAlignment="1" applyProtection="1">
      <alignment vertical="center"/>
    </xf>
    <xf numFmtId="0" fontId="34" fillId="0" borderId="31" xfId="0" applyFont="1" applyBorder="1" applyAlignment="1" applyProtection="1">
      <alignment horizontal="centerContinuous" vertical="center"/>
    </xf>
    <xf numFmtId="0" fontId="35" fillId="0" borderId="11" xfId="0" applyFont="1" applyBorder="1" applyAlignment="1" applyProtection="1">
      <alignment vertical="center"/>
    </xf>
    <xf numFmtId="0" fontId="20" fillId="0" borderId="30" xfId="0" applyFont="1" applyBorder="1" applyAlignment="1" applyProtection="1">
      <alignment vertical="center"/>
    </xf>
    <xf numFmtId="0" fontId="35" fillId="0" borderId="30" xfId="0" applyFont="1" applyBorder="1" applyAlignment="1" applyProtection="1">
      <alignment vertical="center"/>
    </xf>
    <xf numFmtId="0" fontId="0" fillId="0" borderId="30" xfId="0" applyBorder="1" applyProtection="1"/>
    <xf numFmtId="0" fontId="34" fillId="0" borderId="30" xfId="0" applyFont="1" applyBorder="1" applyAlignment="1" applyProtection="1">
      <alignment vertical="center"/>
    </xf>
    <xf numFmtId="9" fontId="0" fillId="0" borderId="0" xfId="0" applyNumberFormat="1" applyProtection="1"/>
    <xf numFmtId="9" fontId="16" fillId="0" borderId="0" xfId="0" applyNumberFormat="1" applyFont="1" applyProtection="1"/>
    <xf numFmtId="9" fontId="34" fillId="0" borderId="0" xfId="0" applyNumberFormat="1" applyFont="1" applyAlignment="1" applyProtection="1">
      <alignment vertical="center"/>
    </xf>
    <xf numFmtId="0" fontId="65" fillId="0" borderId="0" xfId="0" applyFont="1" applyAlignment="1" applyProtection="1">
      <alignment vertical="center"/>
    </xf>
    <xf numFmtId="0" fontId="40" fillId="0" borderId="0" xfId="0" applyFont="1" applyAlignment="1" applyProtection="1">
      <alignment vertical="center"/>
    </xf>
    <xf numFmtId="173" fontId="43" fillId="7" borderId="31" xfId="6" applyNumberFormat="1" applyFont="1" applyFill="1" applyBorder="1" applyAlignment="1" applyProtection="1">
      <alignment horizontal="right" vertical="center"/>
    </xf>
    <xf numFmtId="0" fontId="43" fillId="4" borderId="30" xfId="0" applyFont="1" applyFill="1" applyBorder="1" applyAlignment="1" applyProtection="1">
      <alignment horizontal="right" vertical="center"/>
    </xf>
    <xf numFmtId="178" fontId="29" fillId="4" borderId="18" xfId="0" applyNumberFormat="1" applyFont="1" applyFill="1" applyBorder="1" applyAlignment="1" applyProtection="1">
      <alignment horizontal="right" vertical="center"/>
    </xf>
    <xf numFmtId="178" fontId="29" fillId="4" borderId="19" xfId="0" applyNumberFormat="1" applyFont="1" applyFill="1" applyBorder="1" applyAlignment="1" applyProtection="1">
      <alignment horizontal="right" vertical="center"/>
    </xf>
    <xf numFmtId="170" fontId="29" fillId="3" borderId="50" xfId="0" applyNumberFormat="1" applyFont="1" applyFill="1" applyBorder="1" applyAlignment="1" applyProtection="1">
      <alignment horizontal="right" vertical="center"/>
      <protection locked="0"/>
    </xf>
    <xf numFmtId="0" fontId="29" fillId="0" borderId="38" xfId="8" applyFont="1" applyBorder="1" applyAlignment="1" applyProtection="1">
      <alignment horizontal="left" vertical="center"/>
    </xf>
    <xf numFmtId="179" fontId="29" fillId="4" borderId="27" xfId="0" applyNumberFormat="1" applyFont="1" applyFill="1" applyBorder="1" applyAlignment="1" applyProtection="1">
      <alignment horizontal="right" vertical="center"/>
    </xf>
    <xf numFmtId="170" fontId="29" fillId="4" borderId="88" xfId="0" applyNumberFormat="1" applyFont="1" applyFill="1" applyBorder="1" applyAlignment="1" applyProtection="1">
      <alignment horizontal="right" vertical="center"/>
    </xf>
    <xf numFmtId="0" fontId="29" fillId="0" borderId="57" xfId="8" applyFont="1" applyBorder="1" applyAlignment="1" applyProtection="1">
      <alignment horizontal="center" vertical="center"/>
    </xf>
    <xf numFmtId="0" fontId="0" fillId="7" borderId="27" xfId="0" applyFill="1" applyBorder="1" applyProtection="1"/>
    <xf numFmtId="185" fontId="27" fillId="7" borderId="34" xfId="6" applyNumberFormat="1" applyFont="1" applyFill="1" applyBorder="1" applyAlignment="1" applyProtection="1">
      <alignment vertical="center"/>
    </xf>
    <xf numFmtId="181" fontId="29" fillId="4" borderId="41" xfId="0" applyNumberFormat="1" applyFont="1" applyFill="1" applyBorder="1" applyAlignment="1" applyProtection="1">
      <alignment horizontal="right" vertical="center"/>
    </xf>
    <xf numFmtId="0" fontId="29" fillId="0" borderId="89" xfId="8" applyFont="1" applyBorder="1" applyAlignment="1" applyProtection="1">
      <alignment vertical="center"/>
    </xf>
    <xf numFmtId="176" fontId="29" fillId="3" borderId="59" xfId="0" applyNumberFormat="1" applyFont="1" applyFill="1" applyBorder="1" applyAlignment="1" applyProtection="1">
      <alignment horizontal="right" vertical="center"/>
      <protection locked="0"/>
    </xf>
    <xf numFmtId="0" fontId="29" fillId="0" borderId="90" xfId="8" applyFont="1" applyBorder="1" applyAlignment="1" applyProtection="1">
      <alignment vertical="center"/>
    </xf>
    <xf numFmtId="181" fontId="29" fillId="4" borderId="59" xfId="8" applyNumberFormat="1" applyFont="1" applyFill="1" applyBorder="1" applyAlignment="1" applyProtection="1">
      <alignment horizontal="right" vertical="center"/>
    </xf>
    <xf numFmtId="176" fontId="29" fillId="3" borderId="136" xfId="0" applyNumberFormat="1" applyFont="1" applyFill="1" applyBorder="1" applyAlignment="1" applyProtection="1">
      <alignment horizontal="right" vertical="center"/>
      <protection locked="0"/>
    </xf>
    <xf numFmtId="0" fontId="0" fillId="0" borderId="47" xfId="0" applyBorder="1" applyAlignment="1" applyProtection="1">
      <alignment vertical="center"/>
    </xf>
    <xf numFmtId="0" fontId="0" fillId="7" borderId="46" xfId="0" applyFill="1" applyBorder="1" applyProtection="1"/>
    <xf numFmtId="0" fontId="0" fillId="0" borderId="26" xfId="0" applyBorder="1" applyAlignment="1" applyProtection="1">
      <alignment vertical="center"/>
    </xf>
    <xf numFmtId="207" fontId="40" fillId="4" borderId="78" xfId="0" applyNumberFormat="1" applyFont="1" applyFill="1" applyBorder="1" applyAlignment="1" applyProtection="1">
      <alignment horizontal="right" vertical="center"/>
    </xf>
    <xf numFmtId="208" fontId="0" fillId="7" borderId="89" xfId="0" applyNumberFormat="1" applyFill="1" applyBorder="1" applyProtection="1"/>
    <xf numFmtId="0" fontId="20" fillId="0" borderId="22" xfId="8" applyFont="1" applyBorder="1" applyAlignment="1" applyProtection="1">
      <alignment vertical="center"/>
    </xf>
    <xf numFmtId="176" fontId="29" fillId="3" borderId="88" xfId="0" applyNumberFormat="1" applyFont="1" applyFill="1" applyBorder="1" applyAlignment="1" applyProtection="1">
      <alignment horizontal="right" vertical="center"/>
      <protection locked="0"/>
    </xf>
    <xf numFmtId="176" fontId="29" fillId="3" borderId="78" xfId="0" applyNumberFormat="1" applyFont="1" applyFill="1" applyBorder="1" applyAlignment="1" applyProtection="1">
      <alignment horizontal="right" vertical="center"/>
      <protection locked="0"/>
    </xf>
    <xf numFmtId="176" fontId="29" fillId="3" borderId="29" xfId="0" applyNumberFormat="1" applyFont="1" applyFill="1" applyBorder="1" applyAlignment="1" applyProtection="1">
      <alignment horizontal="right" vertical="center"/>
      <protection locked="0"/>
    </xf>
    <xf numFmtId="0" fontId="40" fillId="0" borderId="90" xfId="0" applyFont="1" applyFill="1" applyBorder="1" applyAlignment="1" applyProtection="1">
      <alignment vertical="center"/>
      <protection locked="0"/>
    </xf>
    <xf numFmtId="0" fontId="0" fillId="0" borderId="11" xfId="0" applyBorder="1" applyAlignment="1" applyProtection="1">
      <alignment horizontal="centerContinuous" vertical="center" wrapText="1"/>
    </xf>
    <xf numFmtId="170" fontId="40" fillId="7" borderId="91" xfId="0" applyNumberFormat="1" applyFont="1" applyFill="1" applyBorder="1" applyAlignment="1" applyProtection="1">
      <alignment horizontal="right"/>
    </xf>
    <xf numFmtId="0" fontId="40" fillId="0" borderId="7" xfId="0" applyFont="1" applyBorder="1" applyAlignment="1" applyProtection="1">
      <alignment vertical="center"/>
    </xf>
    <xf numFmtId="9" fontId="0" fillId="5" borderId="0" xfId="0" applyNumberFormat="1" applyFill="1" applyAlignment="1" applyProtection="1">
      <alignment vertical="center"/>
      <protection locked="0"/>
    </xf>
    <xf numFmtId="183" fontId="29" fillId="8" borderId="1" xfId="0" applyNumberFormat="1" applyFont="1" applyFill="1" applyBorder="1" applyAlignment="1" applyProtection="1">
      <alignment horizontal="right" vertical="center"/>
      <protection locked="0"/>
    </xf>
    <xf numFmtId="178" fontId="29" fillId="8" borderId="1" xfId="0" applyNumberFormat="1" applyFont="1" applyFill="1" applyBorder="1" applyAlignment="1" applyProtection="1">
      <alignment horizontal="right" vertical="center"/>
      <protection locked="0"/>
    </xf>
    <xf numFmtId="0" fontId="15" fillId="8" borderId="0" xfId="0" applyFont="1" applyFill="1" applyAlignment="1" applyProtection="1">
      <alignment vertical="center"/>
      <protection locked="0"/>
    </xf>
    <xf numFmtId="0" fontId="0" fillId="8" borderId="10" xfId="0" applyFill="1" applyBorder="1" applyAlignment="1" applyProtection="1">
      <alignment horizontal="right" vertical="center"/>
      <protection locked="0"/>
    </xf>
    <xf numFmtId="0" fontId="97" fillId="4" borderId="0" xfId="0" applyFont="1" applyFill="1"/>
    <xf numFmtId="2" fontId="22" fillId="4" borderId="18" xfId="0" applyNumberFormat="1" applyFont="1" applyFill="1" applyBorder="1" applyAlignment="1" applyProtection="1">
      <alignment horizontal="center"/>
    </xf>
    <xf numFmtId="2" fontId="22" fillId="4" borderId="0" xfId="0" applyNumberFormat="1" applyFont="1" applyFill="1" applyBorder="1" applyAlignment="1" applyProtection="1">
      <alignment horizontal="center"/>
    </xf>
    <xf numFmtId="0" fontId="22" fillId="4" borderId="0" xfId="0" applyFont="1" applyFill="1" applyBorder="1" applyProtection="1"/>
    <xf numFmtId="207" fontId="40" fillId="8" borderId="139" xfId="0" applyNumberFormat="1" applyFont="1" applyFill="1" applyBorder="1" applyAlignment="1" applyProtection="1">
      <alignment horizontal="right" vertical="center"/>
      <protection locked="0"/>
    </xf>
    <xf numFmtId="207" fontId="29" fillId="8" borderId="139" xfId="0" applyNumberFormat="1" applyFont="1" applyFill="1" applyBorder="1" applyAlignment="1" applyProtection="1">
      <alignment horizontal="right" vertical="center"/>
      <protection locked="0"/>
    </xf>
    <xf numFmtId="0" fontId="93" fillId="0" borderId="0" xfId="0" applyFont="1" applyAlignment="1">
      <alignment vertical="center"/>
    </xf>
    <xf numFmtId="0" fontId="94" fillId="0" borderId="0" xfId="0" applyFont="1"/>
    <xf numFmtId="185" fontId="29" fillId="8" borderId="4" xfId="0" applyNumberFormat="1" applyFont="1" applyFill="1" applyBorder="1" applyAlignment="1" applyProtection="1">
      <alignment horizontal="right" vertical="center"/>
      <protection locked="0"/>
    </xf>
    <xf numFmtId="9" fontId="55" fillId="5" borderId="52" xfId="0" applyNumberFormat="1" applyFont="1" applyFill="1" applyBorder="1" applyAlignment="1" applyProtection="1">
      <alignment horizontal="centerContinuous" vertical="center"/>
      <protection locked="0"/>
    </xf>
    <xf numFmtId="2" fontId="31" fillId="0" borderId="52" xfId="0" applyNumberFormat="1" applyFont="1" applyBorder="1" applyAlignment="1" applyProtection="1">
      <alignment horizontal="center" vertical="center"/>
    </xf>
    <xf numFmtId="0" fontId="18" fillId="0" borderId="0" xfId="0" applyFont="1" applyBorder="1" applyAlignment="1">
      <alignment vertical="center"/>
    </xf>
    <xf numFmtId="0" fontId="20" fillId="0" borderId="0" xfId="8" applyFont="1" applyBorder="1" applyAlignment="1" applyProtection="1">
      <alignment vertical="center"/>
    </xf>
    <xf numFmtId="0" fontId="31" fillId="0" borderId="10" xfId="0" applyFont="1" applyBorder="1" applyAlignment="1">
      <alignment vertical="center"/>
    </xf>
    <xf numFmtId="0" fontId="31" fillId="0" borderId="0" xfId="0" applyFont="1" applyAlignment="1">
      <alignment vertical="center"/>
    </xf>
    <xf numFmtId="0" fontId="28" fillId="0" borderId="0" xfId="0" applyFont="1" applyBorder="1" applyAlignment="1">
      <alignment vertical="top"/>
    </xf>
    <xf numFmtId="0" fontId="16" fillId="0" borderId="0" xfId="0" applyFont="1" applyBorder="1" applyAlignment="1">
      <alignment vertical="center"/>
    </xf>
    <xf numFmtId="0" fontId="16" fillId="0" borderId="0" xfId="0" applyFont="1" applyBorder="1"/>
    <xf numFmtId="0" fontId="16" fillId="0" borderId="0" xfId="0" applyFont="1" applyAlignment="1">
      <alignment vertical="center"/>
    </xf>
    <xf numFmtId="0" fontId="19" fillId="7" borderId="6" xfId="8" applyFont="1" applyFill="1" applyBorder="1" applyAlignment="1" applyProtection="1">
      <alignment vertical="center"/>
    </xf>
    <xf numFmtId="0" fontId="16" fillId="0" borderId="0" xfId="0" applyFont="1" applyBorder="1" applyAlignment="1" applyProtection="1">
      <alignment vertical="center"/>
    </xf>
    <xf numFmtId="0" fontId="0" fillId="9" borderId="0" xfId="0" applyFill="1" applyAlignment="1">
      <alignment vertical="center"/>
    </xf>
    <xf numFmtId="0" fontId="0" fillId="9" borderId="0" xfId="0" applyFill="1" applyBorder="1" applyAlignment="1">
      <alignment vertical="center"/>
    </xf>
    <xf numFmtId="0" fontId="100" fillId="0" borderId="0" xfId="0" applyFont="1" applyAlignment="1">
      <alignment horizontal="center"/>
    </xf>
    <xf numFmtId="0" fontId="36" fillId="0" borderId="14" xfId="0" applyFont="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29" fillId="0" borderId="26" xfId="0" applyFont="1" applyFill="1" applyBorder="1" applyAlignment="1" applyProtection="1">
      <alignment vertical="center"/>
      <protection locked="0"/>
    </xf>
    <xf numFmtId="4" fontId="16" fillId="0" borderId="2" xfId="5">
      <alignment vertical="center"/>
    </xf>
    <xf numFmtId="185" fontId="20" fillId="7" borderId="0" xfId="4" applyNumberFormat="1" applyFont="1" applyFill="1" applyBorder="1" applyAlignment="1">
      <alignment horizontal="right" vertical="center"/>
    </xf>
    <xf numFmtId="185" fontId="20" fillId="4" borderId="0" xfId="4" applyNumberFormat="1" applyFont="1" applyFill="1" applyBorder="1" applyAlignment="1">
      <alignment horizontal="right" vertical="center"/>
    </xf>
    <xf numFmtId="0" fontId="31" fillId="7" borderId="62" xfId="8" applyFont="1" applyFill="1" applyBorder="1" applyAlignment="1" applyProtection="1">
      <alignment vertical="center"/>
    </xf>
    <xf numFmtId="0" fontId="29" fillId="8" borderId="0" xfId="8" applyFont="1" applyFill="1" applyBorder="1" applyAlignment="1" applyProtection="1">
      <alignment vertical="center"/>
    </xf>
    <xf numFmtId="0" fontId="47" fillId="4" borderId="83" xfId="0" applyFont="1" applyFill="1" applyBorder="1" applyAlignment="1">
      <alignment horizontal="center" vertical="center"/>
    </xf>
    <xf numFmtId="0" fontId="24" fillId="0" borderId="85" xfId="8" applyFont="1" applyBorder="1" applyAlignment="1" applyProtection="1">
      <alignment vertical="center"/>
    </xf>
    <xf numFmtId="0" fontId="27" fillId="0" borderId="85" xfId="0" applyFont="1" applyBorder="1" applyAlignment="1">
      <alignment vertical="center"/>
    </xf>
    <xf numFmtId="0" fontId="22" fillId="0" borderId="85" xfId="0" applyFont="1" applyBorder="1" applyAlignment="1">
      <alignment vertical="center"/>
    </xf>
    <xf numFmtId="0" fontId="26" fillId="0" borderId="85" xfId="0" applyFont="1" applyBorder="1" applyAlignment="1">
      <alignment horizontal="left" vertical="center"/>
    </xf>
    <xf numFmtId="0" fontId="47" fillId="4" borderId="63" xfId="0" applyFont="1" applyFill="1" applyBorder="1" applyAlignment="1">
      <alignment horizontal="center" vertical="center"/>
    </xf>
    <xf numFmtId="0" fontId="47" fillId="4" borderId="65" xfId="0" applyFont="1" applyFill="1" applyBorder="1" applyAlignment="1">
      <alignment horizontal="center" vertical="center"/>
    </xf>
    <xf numFmtId="185" fontId="20" fillId="4" borderId="62" xfId="4" applyNumberFormat="1" applyFont="1" applyFill="1" applyBorder="1" applyAlignment="1">
      <alignment horizontal="right" vertical="center"/>
    </xf>
    <xf numFmtId="185" fontId="20" fillId="4" borderId="66" xfId="4" applyNumberFormat="1" applyFont="1" applyFill="1" applyBorder="1" applyAlignment="1">
      <alignment horizontal="right" vertical="center"/>
    </xf>
    <xf numFmtId="185" fontId="22" fillId="7" borderId="92" xfId="4" applyNumberFormat="1" applyFont="1" applyFill="1" applyBorder="1" applyAlignment="1">
      <alignment horizontal="right" vertical="center"/>
    </xf>
    <xf numFmtId="185" fontId="22" fillId="4" borderId="85" xfId="4" applyNumberFormat="1" applyFont="1" applyFill="1" applyBorder="1" applyAlignment="1">
      <alignment horizontal="right" vertical="center"/>
    </xf>
    <xf numFmtId="185" fontId="22" fillId="4" borderId="92" xfId="4" applyNumberFormat="1" applyFont="1" applyFill="1" applyBorder="1" applyAlignment="1">
      <alignment horizontal="right" vertical="center"/>
    </xf>
    <xf numFmtId="185" fontId="22" fillId="4" borderId="86" xfId="4" applyNumberFormat="1" applyFont="1" applyFill="1" applyBorder="1" applyAlignment="1">
      <alignment horizontal="right" vertical="center"/>
    </xf>
    <xf numFmtId="185" fontId="22" fillId="4" borderId="0" xfId="4" applyNumberFormat="1" applyFont="1" applyFill="1" applyBorder="1" applyAlignment="1">
      <alignment horizontal="right" vertical="center"/>
    </xf>
    <xf numFmtId="185" fontId="22" fillId="4" borderId="64" xfId="4" applyNumberFormat="1" applyFont="1" applyFill="1" applyBorder="1" applyAlignment="1">
      <alignment horizontal="right" vertical="center"/>
    </xf>
    <xf numFmtId="0" fontId="98" fillId="7" borderId="0" xfId="8" applyFont="1" applyFill="1" applyBorder="1" applyAlignment="1" applyProtection="1">
      <alignment vertical="center"/>
    </xf>
    <xf numFmtId="0" fontId="47" fillId="0" borderId="62" xfId="0" applyFont="1" applyBorder="1" applyAlignment="1">
      <alignment vertical="center"/>
    </xf>
    <xf numFmtId="0" fontId="26" fillId="0" borderId="0" xfId="0" applyFont="1" applyBorder="1" applyAlignment="1">
      <alignment horizontal="right" vertical="center"/>
    </xf>
    <xf numFmtId="185" fontId="22" fillId="7" borderId="0" xfId="4" applyNumberFormat="1" applyFont="1" applyFill="1" applyBorder="1" applyAlignment="1">
      <alignment horizontal="right" vertical="center"/>
    </xf>
    <xf numFmtId="0" fontId="26" fillId="0" borderId="85" xfId="0" applyFont="1" applyBorder="1" applyAlignment="1">
      <alignment horizontal="right" vertical="center"/>
    </xf>
    <xf numFmtId="185" fontId="22" fillId="4" borderId="66" xfId="4" applyNumberFormat="1" applyFont="1" applyFill="1" applyBorder="1" applyAlignment="1">
      <alignment horizontal="right" vertical="center"/>
    </xf>
    <xf numFmtId="185" fontId="22" fillId="4" borderId="110" xfId="4" applyNumberFormat="1" applyFont="1" applyFill="1" applyBorder="1" applyAlignment="1">
      <alignment horizontal="right" vertical="center"/>
    </xf>
    <xf numFmtId="0" fontId="24" fillId="8" borderId="7" xfId="8" applyFont="1" applyFill="1" applyBorder="1" applyAlignment="1" applyProtection="1">
      <alignment vertical="center"/>
    </xf>
    <xf numFmtId="185" fontId="19" fillId="7" borderId="93" xfId="0" applyNumberFormat="1" applyFont="1" applyFill="1" applyBorder="1" applyAlignment="1">
      <alignment horizontal="right" vertical="center"/>
    </xf>
    <xf numFmtId="0" fontId="22" fillId="7" borderId="6" xfId="8" applyFont="1" applyFill="1" applyBorder="1" applyAlignment="1" applyProtection="1">
      <alignment vertical="center"/>
    </xf>
    <xf numFmtId="0" fontId="24" fillId="7" borderId="6" xfId="8" applyFont="1" applyFill="1" applyBorder="1" applyAlignment="1" applyProtection="1">
      <alignment vertical="center"/>
    </xf>
    <xf numFmtId="0" fontId="18" fillId="0" borderId="0" xfId="0" applyFont="1" applyBorder="1" applyAlignment="1">
      <alignment horizontal="left" vertical="top"/>
    </xf>
    <xf numFmtId="0" fontId="43" fillId="0" borderId="16" xfId="0" applyFont="1" applyFill="1" applyBorder="1" applyAlignment="1">
      <alignment horizontal="center" vertical="center"/>
    </xf>
    <xf numFmtId="0" fontId="43" fillId="0" borderId="17" xfId="0" applyFont="1" applyFill="1" applyBorder="1" applyAlignment="1">
      <alignment horizontal="center" vertical="center"/>
    </xf>
    <xf numFmtId="186" fontId="29" fillId="0" borderId="47" xfId="0" applyNumberFormat="1" applyFont="1" applyFill="1" applyBorder="1" applyAlignment="1">
      <alignment horizontal="left" vertical="center"/>
    </xf>
    <xf numFmtId="185" fontId="20" fillId="3" borderId="51" xfId="6" applyNumberFormat="1" applyFont="1" applyFill="1" applyBorder="1" applyAlignment="1" applyProtection="1">
      <alignment vertical="center"/>
      <protection locked="0"/>
    </xf>
    <xf numFmtId="0" fontId="29" fillId="0" borderId="25" xfId="0" applyFont="1" applyBorder="1" applyAlignment="1">
      <alignment vertical="center"/>
    </xf>
    <xf numFmtId="186" fontId="29" fillId="0" borderId="26" xfId="0" applyNumberFormat="1" applyFont="1" applyFill="1" applyBorder="1" applyAlignment="1">
      <alignment horizontal="left" vertical="center"/>
    </xf>
    <xf numFmtId="186" fontId="29" fillId="0" borderId="7" xfId="0" applyNumberFormat="1" applyFont="1" applyFill="1" applyBorder="1" applyAlignment="1">
      <alignment horizontal="left" vertical="center"/>
    </xf>
    <xf numFmtId="185" fontId="20" fillId="3" borderId="15" xfId="6" applyNumberFormat="1" applyFont="1" applyFill="1" applyBorder="1" applyAlignment="1" applyProtection="1">
      <alignment vertical="center"/>
      <protection locked="0"/>
    </xf>
    <xf numFmtId="185" fontId="27" fillId="3" borderId="44" xfId="6" applyNumberFormat="1" applyFont="1" applyFill="1" applyBorder="1" applyAlignment="1" applyProtection="1">
      <alignment vertical="center"/>
      <protection locked="0"/>
    </xf>
    <xf numFmtId="185" fontId="27" fillId="3" borderId="41" xfId="6" applyNumberFormat="1" applyFont="1" applyFill="1" applyBorder="1" applyAlignment="1" applyProtection="1">
      <alignment vertical="center"/>
      <protection locked="0"/>
    </xf>
    <xf numFmtId="0" fontId="0" fillId="0" borderId="3" xfId="0" applyBorder="1" applyAlignment="1">
      <alignment horizontal="center" vertical="center" textRotation="90"/>
    </xf>
    <xf numFmtId="0" fontId="24" fillId="4" borderId="7" xfId="0" applyFont="1" applyFill="1" applyBorder="1" applyAlignment="1">
      <alignment horizontal="right" vertical="center"/>
    </xf>
    <xf numFmtId="0" fontId="29" fillId="0" borderId="0" xfId="8" applyFont="1" applyFill="1" applyBorder="1" applyAlignment="1" applyProtection="1">
      <alignment vertical="top"/>
    </xf>
    <xf numFmtId="187" fontId="19" fillId="7" borderId="8" xfId="0" applyNumberFormat="1" applyFont="1" applyFill="1" applyBorder="1" applyAlignment="1">
      <alignment horizontal="right" vertical="center"/>
    </xf>
    <xf numFmtId="187" fontId="19" fillId="7" borderId="67" xfId="0" applyNumberFormat="1" applyFont="1" applyFill="1" applyBorder="1" applyAlignment="1">
      <alignment horizontal="right" vertical="center"/>
    </xf>
    <xf numFmtId="0" fontId="0" fillId="4" borderId="7" xfId="0" applyFill="1" applyBorder="1" applyAlignment="1">
      <alignment vertical="center"/>
    </xf>
    <xf numFmtId="0" fontId="22" fillId="4" borderId="0" xfId="8" applyFont="1" applyFill="1" applyBorder="1" applyAlignment="1" applyProtection="1">
      <alignment vertical="center"/>
    </xf>
    <xf numFmtId="196" fontId="22" fillId="0" borderId="0" xfId="0" applyNumberFormat="1" applyFont="1" applyFill="1" applyBorder="1" applyAlignment="1">
      <alignment horizontal="right" vertical="center"/>
    </xf>
    <xf numFmtId="196" fontId="22" fillId="0" borderId="10" xfId="0" applyNumberFormat="1" applyFont="1" applyFill="1" applyBorder="1" applyAlignment="1">
      <alignment horizontal="right" vertical="center"/>
    </xf>
    <xf numFmtId="0" fontId="40" fillId="4" borderId="0" xfId="0" applyFont="1" applyFill="1" applyBorder="1" applyAlignment="1">
      <alignment vertical="center"/>
    </xf>
    <xf numFmtId="187" fontId="19" fillId="7" borderId="8" xfId="4" applyNumberFormat="1" applyFont="1" applyFill="1" applyBorder="1" applyAlignment="1">
      <alignment horizontal="right" vertical="center"/>
    </xf>
    <xf numFmtId="187" fontId="19" fillId="0" borderId="8" xfId="0" applyNumberFormat="1" applyFont="1" applyFill="1" applyBorder="1" applyAlignment="1">
      <alignment horizontal="right" vertical="center"/>
    </xf>
    <xf numFmtId="187" fontId="19" fillId="0" borderId="67" xfId="0" applyNumberFormat="1" applyFont="1" applyFill="1" applyBorder="1" applyAlignment="1">
      <alignment horizontal="right" vertical="center"/>
    </xf>
    <xf numFmtId="1" fontId="18" fillId="7" borderId="134" xfId="8" applyNumberFormat="1" applyFont="1" applyFill="1" applyBorder="1" applyAlignment="1" applyProtection="1">
      <alignment vertical="center"/>
    </xf>
    <xf numFmtId="1" fontId="18" fillId="7" borderId="63" xfId="8" applyNumberFormat="1" applyFont="1" applyFill="1" applyBorder="1" applyAlignment="1" applyProtection="1">
      <alignment vertical="center"/>
    </xf>
    <xf numFmtId="0" fontId="18" fillId="7" borderId="134" xfId="8" applyFont="1" applyFill="1" applyBorder="1" applyAlignment="1" applyProtection="1">
      <alignment vertical="center"/>
    </xf>
    <xf numFmtId="0" fontId="18" fillId="7" borderId="63" xfId="8" applyFont="1" applyFill="1" applyBorder="1" applyAlignment="1" applyProtection="1">
      <alignment vertical="center"/>
    </xf>
    <xf numFmtId="0" fontId="43" fillId="2" borderId="5" xfId="0" applyFont="1" applyFill="1" applyBorder="1" applyAlignment="1">
      <alignment horizontal="center"/>
    </xf>
    <xf numFmtId="0" fontId="43" fillId="2" borderId="6" xfId="0" applyFont="1" applyFill="1" applyBorder="1" applyAlignment="1">
      <alignment horizontal="center"/>
    </xf>
    <xf numFmtId="0" fontId="43" fillId="2" borderId="3" xfId="0" applyFont="1" applyFill="1" applyBorder="1" applyAlignment="1">
      <alignment horizontal="center"/>
    </xf>
    <xf numFmtId="0" fontId="16" fillId="2" borderId="3" xfId="0" applyFont="1" applyFill="1" applyBorder="1" applyAlignment="1">
      <alignment horizontal="center"/>
    </xf>
    <xf numFmtId="0" fontId="0" fillId="2" borderId="0" xfId="0" applyFill="1" applyBorder="1" applyAlignment="1">
      <alignment horizontal="center"/>
    </xf>
    <xf numFmtId="0" fontId="0" fillId="2" borderId="3" xfId="0" applyFill="1" applyBorder="1" applyAlignment="1">
      <alignment horizontal="center"/>
    </xf>
    <xf numFmtId="0" fontId="43" fillId="2" borderId="10" xfId="0" applyFont="1" applyFill="1" applyBorder="1" applyAlignment="1">
      <alignment horizontal="center"/>
    </xf>
    <xf numFmtId="0" fontId="43" fillId="2" borderId="4" xfId="0" applyFont="1" applyFill="1" applyBorder="1" applyAlignment="1">
      <alignment horizontal="center"/>
    </xf>
    <xf numFmtId="0" fontId="16" fillId="2" borderId="4" xfId="0" applyFont="1" applyFill="1" applyBorder="1" applyAlignment="1">
      <alignment horizontal="center"/>
    </xf>
    <xf numFmtId="0" fontId="16" fillId="2" borderId="24" xfId="0" applyFont="1" applyFill="1" applyBorder="1" applyAlignment="1">
      <alignment horizontal="center"/>
    </xf>
    <xf numFmtId="3" fontId="20" fillId="5" borderId="21" xfId="0" applyNumberFormat="1" applyFont="1" applyFill="1" applyBorder="1" applyAlignment="1" applyProtection="1">
      <alignment horizontal="center" vertical="center"/>
      <protection locked="0"/>
    </xf>
    <xf numFmtId="0" fontId="34" fillId="0" borderId="0" xfId="0" applyFont="1" applyAlignment="1" applyProtection="1">
      <alignment horizontal="center" vertical="center"/>
    </xf>
    <xf numFmtId="0" fontId="23" fillId="4" borderId="0" xfId="0" applyFont="1" applyFill="1"/>
    <xf numFmtId="0" fontId="100" fillId="0" borderId="0" xfId="0" applyFont="1"/>
    <xf numFmtId="0" fontId="22" fillId="0" borderId="3" xfId="0" applyFont="1" applyBorder="1"/>
    <xf numFmtId="172" fontId="0" fillId="0" borderId="3" xfId="0" applyNumberFormat="1" applyFill="1" applyBorder="1"/>
    <xf numFmtId="172" fontId="0" fillId="0" borderId="4" xfId="0" applyNumberFormat="1" applyFill="1" applyBorder="1"/>
    <xf numFmtId="0" fontId="0" fillId="0" borderId="22" xfId="0" applyFill="1" applyBorder="1" applyAlignment="1">
      <alignment vertical="center"/>
    </xf>
    <xf numFmtId="169" fontId="0" fillId="0" borderId="0" xfId="0" applyNumberFormat="1" applyFill="1" applyBorder="1"/>
    <xf numFmtId="0" fontId="22" fillId="0" borderId="5" xfId="0" applyFont="1" applyBorder="1" applyAlignment="1">
      <alignment horizontal="centerContinuous" vertical="center"/>
    </xf>
    <xf numFmtId="176" fontId="22" fillId="4" borderId="9" xfId="7" applyNumberFormat="1" applyFont="1" applyFill="1" applyBorder="1" applyAlignment="1">
      <alignment vertical="center"/>
    </xf>
    <xf numFmtId="176" fontId="22" fillId="4" borderId="8" xfId="7" applyNumberFormat="1" applyFont="1" applyFill="1" applyBorder="1" applyAlignment="1">
      <alignment vertical="center"/>
    </xf>
    <xf numFmtId="176" fontId="22" fillId="4" borderId="53" xfId="7" applyNumberFormat="1" applyFont="1" applyFill="1" applyBorder="1" applyAlignment="1">
      <alignment vertical="center"/>
    </xf>
    <xf numFmtId="0" fontId="22" fillId="4" borderId="9" xfId="0" applyFont="1" applyFill="1" applyBorder="1" applyAlignment="1">
      <alignment horizontal="centerContinuous" vertical="center"/>
    </xf>
    <xf numFmtId="0" fontId="20" fillId="0" borderId="11" xfId="0" applyFont="1" applyBorder="1" applyAlignment="1">
      <alignment vertical="center"/>
    </xf>
    <xf numFmtId="0" fontId="22" fillId="0" borderId="10" xfId="0" applyFont="1" applyBorder="1" applyAlignment="1" applyProtection="1">
      <alignment vertical="center"/>
    </xf>
    <xf numFmtId="0" fontId="22" fillId="0" borderId="0" xfId="0" applyFont="1" applyBorder="1" applyAlignment="1">
      <alignment horizontal="center"/>
    </xf>
    <xf numFmtId="166" fontId="22" fillId="0" borderId="3" xfId="0" applyNumberFormat="1" applyFont="1" applyBorder="1"/>
    <xf numFmtId="166" fontId="22" fillId="0" borderId="3" xfId="0" applyNumberFormat="1" applyFont="1" applyBorder="1" applyAlignment="1">
      <alignment horizontal="right"/>
    </xf>
    <xf numFmtId="2" fontId="18" fillId="7" borderId="104" xfId="0" applyNumberFormat="1" applyFont="1" applyFill="1" applyBorder="1" applyAlignment="1">
      <alignment horizontal="center" vertical="center" wrapText="1"/>
    </xf>
    <xf numFmtId="2" fontId="18" fillId="7" borderId="97" xfId="0" applyNumberFormat="1" applyFont="1" applyFill="1" applyBorder="1" applyAlignment="1">
      <alignment horizontal="center" vertical="center" wrapText="1"/>
    </xf>
    <xf numFmtId="0" fontId="102" fillId="0" borderId="0" xfId="0" applyFont="1" applyBorder="1" applyAlignment="1" applyProtection="1">
      <alignment vertical="center"/>
    </xf>
    <xf numFmtId="0" fontId="103" fillId="0" borderId="0" xfId="0" applyFont="1" applyBorder="1" applyAlignment="1" applyProtection="1">
      <alignment vertical="center"/>
    </xf>
    <xf numFmtId="49" fontId="23" fillId="0" borderId="0" xfId="0" applyNumberFormat="1" applyFont="1" applyBorder="1" applyAlignment="1">
      <alignment vertical="center"/>
    </xf>
    <xf numFmtId="49" fontId="23" fillId="0" borderId="0" xfId="0" applyNumberFormat="1" applyFont="1" applyFill="1" applyBorder="1" applyAlignment="1">
      <alignment vertical="center"/>
    </xf>
    <xf numFmtId="0" fontId="102" fillId="0" borderId="0" xfId="0" applyFont="1"/>
    <xf numFmtId="0" fontId="14" fillId="3" borderId="7" xfId="8" applyFont="1" applyFill="1" applyBorder="1" applyAlignment="1" applyProtection="1">
      <alignment vertical="center"/>
      <protection locked="0"/>
    </xf>
    <xf numFmtId="0" fontId="72" fillId="0" borderId="0" xfId="0" applyFont="1" applyAlignment="1">
      <alignment vertical="center"/>
    </xf>
    <xf numFmtId="172" fontId="16" fillId="0" borderId="3" xfId="0" applyNumberFormat="1" applyFont="1" applyFill="1" applyBorder="1"/>
    <xf numFmtId="169" fontId="16" fillId="0" borderId="10" xfId="0" applyNumberFormat="1" applyFont="1" applyBorder="1"/>
    <xf numFmtId="169" fontId="16" fillId="0" borderId="24" xfId="0" applyNumberFormat="1" applyFont="1" applyBorder="1"/>
    <xf numFmtId="172" fontId="0" fillId="11" borderId="3" xfId="0" applyNumberFormat="1" applyFill="1" applyBorder="1" applyAlignment="1">
      <alignment horizontal="right"/>
    </xf>
    <xf numFmtId="172" fontId="0" fillId="11" borderId="3" xfId="0" applyNumberFormat="1" applyFill="1" applyBorder="1"/>
    <xf numFmtId="169" fontId="0" fillId="11" borderId="0" xfId="0" applyNumberFormat="1" applyFill="1" applyBorder="1"/>
    <xf numFmtId="169" fontId="0" fillId="11" borderId="10" xfId="0" applyNumberFormat="1" applyFill="1" applyBorder="1"/>
    <xf numFmtId="169" fontId="0" fillId="11" borderId="7" xfId="0" applyNumberFormat="1" applyFill="1" applyBorder="1"/>
    <xf numFmtId="169" fontId="0" fillId="11" borderId="24" xfId="0" applyNumberFormat="1" applyFill="1" applyBorder="1"/>
    <xf numFmtId="49" fontId="16" fillId="11" borderId="3" xfId="0" applyNumberFormat="1" applyFont="1" applyFill="1" applyBorder="1" applyAlignment="1">
      <alignment horizontal="left"/>
    </xf>
    <xf numFmtId="0" fontId="13" fillId="0" borderId="0" xfId="0" applyFont="1" applyAlignment="1" applyProtection="1">
      <alignment vertical="center"/>
    </xf>
    <xf numFmtId="0" fontId="16" fillId="0" borderId="0" xfId="0" applyFont="1" applyAlignment="1" applyProtection="1">
      <alignment vertical="center"/>
    </xf>
    <xf numFmtId="0" fontId="20" fillId="12" borderId="145" xfId="0" applyFont="1" applyFill="1" applyBorder="1" applyAlignment="1">
      <alignment vertical="center"/>
    </xf>
    <xf numFmtId="0" fontId="12" fillId="0" borderId="0" xfId="0" applyFont="1" applyBorder="1" applyAlignment="1">
      <alignment horizontal="left" vertical="center"/>
    </xf>
    <xf numFmtId="0" fontId="104" fillId="0" borderId="0" xfId="0" applyFont="1" applyAlignment="1">
      <alignment horizontal="left" vertical="center"/>
    </xf>
    <xf numFmtId="0" fontId="12" fillId="0" borderId="0" xfId="0" applyFont="1" applyAlignment="1">
      <alignment vertical="center"/>
    </xf>
    <xf numFmtId="0" fontId="20" fillId="12" borderId="148" xfId="0" applyFont="1" applyFill="1" applyBorder="1" applyAlignment="1">
      <alignment vertical="center"/>
    </xf>
    <xf numFmtId="0" fontId="28" fillId="12" borderId="0" xfId="0" applyFont="1" applyFill="1" applyBorder="1" applyAlignment="1">
      <alignment vertical="center"/>
    </xf>
    <xf numFmtId="0" fontId="105" fillId="0" borderId="0" xfId="3" applyFont="1" applyBorder="1" applyAlignment="1" applyProtection="1">
      <alignment horizontal="left" vertical="center"/>
    </xf>
    <xf numFmtId="0" fontId="58" fillId="0" borderId="0" xfId="3" applyAlignment="1" applyProtection="1">
      <alignment vertical="center"/>
    </xf>
    <xf numFmtId="0" fontId="28" fillId="12" borderId="0" xfId="0" applyFont="1" applyFill="1" applyBorder="1" applyAlignment="1">
      <alignment horizontal="left" vertical="center"/>
    </xf>
    <xf numFmtId="0" fontId="28" fillId="12" borderId="149" xfId="0" applyFont="1" applyFill="1" applyBorder="1" applyAlignment="1">
      <alignment vertical="center"/>
    </xf>
    <xf numFmtId="0" fontId="104" fillId="0" borderId="0" xfId="0" applyFont="1" applyAlignment="1" applyProtection="1">
      <alignment horizontal="left" vertical="center"/>
      <protection locked="0"/>
    </xf>
    <xf numFmtId="0" fontId="106" fillId="12" borderId="0" xfId="0" applyFont="1" applyFill="1" applyBorder="1" applyAlignment="1">
      <alignment horizontal="left" vertical="center"/>
    </xf>
    <xf numFmtId="0" fontId="20" fillId="13" borderId="0" xfId="0" applyFont="1" applyFill="1" applyBorder="1" applyAlignment="1">
      <alignment vertical="center"/>
    </xf>
    <xf numFmtId="170" fontId="29" fillId="14" borderId="44" xfId="0" applyNumberFormat="1" applyFont="1" applyFill="1" applyBorder="1" applyAlignment="1" applyProtection="1">
      <alignment horizontal="right" vertical="center"/>
      <protection locked="0"/>
    </xf>
    <xf numFmtId="176" fontId="29" fillId="14" borderId="40" xfId="0" applyNumberFormat="1" applyFont="1" applyFill="1" applyBorder="1" applyAlignment="1" applyProtection="1">
      <alignment horizontal="right" vertical="center"/>
    </xf>
    <xf numFmtId="176" fontId="29" fillId="14" borderId="2" xfId="0" applyNumberFormat="1" applyFont="1" applyFill="1" applyBorder="1" applyAlignment="1" applyProtection="1">
      <alignment horizontal="right" vertical="center"/>
    </xf>
    <xf numFmtId="176" fontId="29" fillId="14" borderId="41" xfId="0" applyNumberFormat="1" applyFont="1" applyFill="1" applyBorder="1" applyAlignment="1" applyProtection="1">
      <alignment horizontal="right" vertical="center"/>
    </xf>
    <xf numFmtId="0" fontId="29" fillId="0" borderId="47" xfId="0" applyFont="1" applyFill="1" applyBorder="1" applyAlignment="1" applyProtection="1">
      <alignment vertical="center"/>
      <protection locked="0"/>
    </xf>
    <xf numFmtId="0" fontId="29" fillId="0" borderId="6" xfId="0" applyFont="1" applyBorder="1" applyAlignment="1">
      <alignment vertical="center"/>
    </xf>
    <xf numFmtId="2" fontId="18" fillId="7" borderId="105" xfId="0" applyNumberFormat="1" applyFont="1" applyFill="1" applyBorder="1" applyAlignment="1">
      <alignment horizontal="center" vertical="center" wrapText="1"/>
    </xf>
    <xf numFmtId="0" fontId="10" fillId="0" borderId="18" xfId="0" applyFont="1" applyFill="1" applyBorder="1" applyAlignment="1" applyProtection="1">
      <alignment horizontal="center" vertical="center"/>
    </xf>
    <xf numFmtId="0" fontId="67" fillId="0" borderId="18" xfId="0" applyFont="1" applyFill="1" applyBorder="1" applyAlignment="1" applyProtection="1">
      <alignment horizontal="center" vertical="center"/>
    </xf>
    <xf numFmtId="0" fontId="67" fillId="0" borderId="80" xfId="0" applyFont="1" applyFill="1" applyBorder="1" applyAlignment="1" applyProtection="1">
      <alignment horizontal="center" vertical="center"/>
    </xf>
    <xf numFmtId="170" fontId="10" fillId="4" borderId="39" xfId="0" applyNumberFormat="1" applyFont="1" applyFill="1" applyBorder="1" applyAlignment="1" applyProtection="1">
      <alignment horizontal="right" vertical="center"/>
    </xf>
    <xf numFmtId="170" fontId="10" fillId="2" borderId="39" xfId="0" applyNumberFormat="1" applyFont="1" applyFill="1" applyBorder="1" applyAlignment="1" applyProtection="1">
      <alignment horizontal="right" vertical="center"/>
    </xf>
    <xf numFmtId="0" fontId="16" fillId="0" borderId="3" xfId="0" applyFont="1" applyBorder="1"/>
    <xf numFmtId="169" fontId="16" fillId="0" borderId="0" xfId="0" applyNumberFormat="1" applyFont="1" applyFill="1" applyBorder="1"/>
    <xf numFmtId="0" fontId="16" fillId="0" borderId="3" xfId="0" applyFont="1" applyBorder="1" applyAlignment="1"/>
    <xf numFmtId="0" fontId="0" fillId="0" borderId="3" xfId="0" applyBorder="1" applyAlignment="1">
      <alignment horizontal="center"/>
    </xf>
    <xf numFmtId="0" fontId="0" fillId="0" borderId="4" xfId="0" applyBorder="1" applyAlignment="1">
      <alignment horizontal="center"/>
    </xf>
    <xf numFmtId="169" fontId="16" fillId="0" borderId="4" xfId="0" applyNumberFormat="1" applyFont="1" applyFill="1" applyBorder="1"/>
    <xf numFmtId="200" fontId="107" fillId="6" borderId="0" xfId="0" applyNumberFormat="1" applyFont="1" applyFill="1" applyBorder="1" applyAlignment="1" applyProtection="1">
      <alignment horizontal="left" vertical="center"/>
    </xf>
    <xf numFmtId="0" fontId="31" fillId="6" borderId="0" xfId="0" applyFont="1" applyFill="1" applyBorder="1" applyAlignment="1">
      <alignment horizontal="center"/>
    </xf>
    <xf numFmtId="0" fontId="9" fillId="6" borderId="0" xfId="0" applyFont="1" applyFill="1" applyBorder="1" applyAlignment="1" applyProtection="1">
      <alignment vertical="center"/>
    </xf>
    <xf numFmtId="200" fontId="107" fillId="6" borderId="63" xfId="0" applyNumberFormat="1" applyFont="1" applyFill="1" applyBorder="1" applyAlignment="1" applyProtection="1">
      <alignment horizontal="left" vertical="center"/>
    </xf>
    <xf numFmtId="0" fontId="31" fillId="6" borderId="62" xfId="0" applyFont="1" applyFill="1" applyBorder="1" applyAlignment="1">
      <alignment horizontal="center"/>
    </xf>
    <xf numFmtId="0" fontId="31" fillId="11" borderId="0" xfId="0" applyFont="1" applyFill="1" applyBorder="1" applyAlignment="1">
      <alignment horizontal="center"/>
    </xf>
    <xf numFmtId="0" fontId="20" fillId="11" borderId="0" xfId="0" applyFont="1" applyFill="1" applyBorder="1" applyAlignment="1">
      <alignment horizontal="center"/>
    </xf>
    <xf numFmtId="0" fontId="15" fillId="0" borderId="0" xfId="0" applyFont="1" applyBorder="1" applyAlignment="1">
      <alignment horizontal="left" vertical="center"/>
    </xf>
    <xf numFmtId="3" fontId="0" fillId="0" borderId="0" xfId="0" applyNumberFormat="1" applyAlignment="1">
      <alignment vertical="center"/>
    </xf>
    <xf numFmtId="0" fontId="108" fillId="0" borderId="0" xfId="0" applyFont="1" applyBorder="1" applyAlignment="1">
      <alignment horizontal="left" vertical="center"/>
    </xf>
    <xf numFmtId="10" fontId="0" fillId="0" borderId="0" xfId="0" applyNumberFormat="1" applyAlignment="1">
      <alignment vertical="center"/>
    </xf>
    <xf numFmtId="0" fontId="74" fillId="0" borderId="0" xfId="0" applyFont="1" applyBorder="1" applyAlignment="1">
      <alignment horizontal="left" vertical="center"/>
    </xf>
    <xf numFmtId="0" fontId="74" fillId="0" borderId="0" xfId="0" applyFont="1"/>
    <xf numFmtId="3" fontId="74" fillId="0" borderId="0" xfId="0" applyNumberFormat="1" applyFont="1" applyAlignment="1">
      <alignment vertical="center"/>
    </xf>
    <xf numFmtId="10" fontId="74" fillId="0" borderId="0" xfId="0" applyNumberFormat="1" applyFont="1" applyAlignment="1">
      <alignment vertical="center"/>
    </xf>
    <xf numFmtId="0" fontId="74" fillId="0" borderId="0" xfId="0" applyFont="1" applyAlignment="1">
      <alignment vertical="center"/>
    </xf>
    <xf numFmtId="0" fontId="109" fillId="6" borderId="52" xfId="3" applyFont="1" applyFill="1" applyBorder="1" applyAlignment="1" applyProtection="1">
      <alignment horizontal="left" vertical="center"/>
    </xf>
    <xf numFmtId="0" fontId="43" fillId="4" borderId="0" xfId="0" applyFont="1" applyFill="1" applyAlignment="1">
      <alignment horizontal="center" vertical="center"/>
    </xf>
    <xf numFmtId="0" fontId="42" fillId="6" borderId="63" xfId="0" applyFont="1" applyFill="1" applyBorder="1" applyAlignment="1">
      <alignment horizontal="center" vertical="top"/>
    </xf>
    <xf numFmtId="0" fontId="42" fillId="6" borderId="0" xfId="0" applyFont="1" applyFill="1" applyBorder="1" applyAlignment="1">
      <alignment horizontal="center" vertical="top"/>
    </xf>
    <xf numFmtId="0" fontId="42" fillId="6" borderId="64" xfId="0" applyFont="1" applyFill="1" applyBorder="1" applyAlignment="1">
      <alignment horizontal="center" vertical="top"/>
    </xf>
    <xf numFmtId="0" fontId="8" fillId="6" borderId="63" xfId="0" applyFont="1" applyFill="1" applyBorder="1" applyAlignment="1" applyProtection="1">
      <alignment vertical="center"/>
    </xf>
    <xf numFmtId="0" fontId="28" fillId="0" borderId="62" xfId="0" applyFont="1" applyBorder="1" applyAlignment="1">
      <alignment horizontal="left" vertical="center"/>
    </xf>
    <xf numFmtId="0" fontId="9" fillId="11" borderId="62" xfId="0" applyFont="1" applyFill="1" applyBorder="1" applyAlignment="1" applyProtection="1">
      <alignment vertical="center"/>
    </xf>
    <xf numFmtId="0" fontId="31" fillId="11" borderId="62" xfId="0" applyFont="1" applyFill="1" applyBorder="1" applyAlignment="1">
      <alignment horizontal="center"/>
    </xf>
    <xf numFmtId="0" fontId="20" fillId="11" borderId="62" xfId="0" applyFont="1" applyFill="1" applyBorder="1" applyAlignment="1">
      <alignment horizontal="center"/>
    </xf>
    <xf numFmtId="0" fontId="19" fillId="0" borderId="0" xfId="0" applyFont="1" applyAlignment="1">
      <alignment wrapText="1"/>
    </xf>
    <xf numFmtId="0" fontId="20" fillId="0" borderId="0" xfId="0" applyFont="1" applyAlignment="1">
      <alignment wrapText="1"/>
    </xf>
    <xf numFmtId="2" fontId="18" fillId="7" borderId="104" xfId="0" applyNumberFormat="1" applyFont="1" applyFill="1" applyBorder="1" applyAlignment="1">
      <alignment horizontal="center" vertical="center"/>
    </xf>
    <xf numFmtId="14" fontId="22" fillId="6" borderId="66" xfId="0" applyNumberFormat="1" applyFont="1" applyFill="1" applyBorder="1" applyAlignment="1">
      <alignment horizontal="right"/>
    </xf>
    <xf numFmtId="2" fontId="22" fillId="0" borderId="107" xfId="0" applyNumberFormat="1" applyFont="1" applyBorder="1" applyAlignment="1">
      <alignment horizontal="center" wrapText="1"/>
    </xf>
    <xf numFmtId="0" fontId="49" fillId="7" borderId="101" xfId="0" applyFont="1" applyFill="1" applyBorder="1" applyAlignment="1">
      <alignment horizontal="left" vertical="center"/>
    </xf>
    <xf numFmtId="2" fontId="42" fillId="7" borderId="101" xfId="0" applyNumberFormat="1" applyFont="1" applyFill="1" applyBorder="1" applyAlignment="1">
      <alignment horizontal="centerContinuous" vertical="center"/>
    </xf>
    <xf numFmtId="2" fontId="42" fillId="7" borderId="103" xfId="0" applyNumberFormat="1" applyFont="1" applyFill="1" applyBorder="1" applyAlignment="1">
      <alignment horizontal="centerContinuous" vertical="center"/>
    </xf>
    <xf numFmtId="2" fontId="42" fillId="7" borderId="102" xfId="0" applyNumberFormat="1" applyFont="1" applyFill="1" applyBorder="1" applyAlignment="1">
      <alignment horizontal="left" vertical="center"/>
    </xf>
    <xf numFmtId="0" fontId="110" fillId="0" borderId="0" xfId="0" applyFont="1"/>
    <xf numFmtId="0" fontId="7" fillId="0" borderId="0" xfId="0" applyFont="1" applyAlignment="1">
      <alignment vertical="center"/>
    </xf>
    <xf numFmtId="210" fontId="22" fillId="0" borderId="0" xfId="0" applyNumberFormat="1" applyFont="1" applyAlignment="1" applyProtection="1">
      <alignment horizontal="center"/>
    </xf>
    <xf numFmtId="0" fontId="6" fillId="6" borderId="62" xfId="0" applyFont="1" applyFill="1" applyBorder="1" applyAlignment="1"/>
    <xf numFmtId="0" fontId="112" fillId="0" borderId="52" xfId="0" applyFont="1" applyBorder="1"/>
    <xf numFmtId="0" fontId="112" fillId="0" borderId="11" xfId="0" applyFont="1" applyBorder="1"/>
    <xf numFmtId="0" fontId="111" fillId="0" borderId="86" xfId="0" applyFont="1" applyBorder="1"/>
    <xf numFmtId="2" fontId="112" fillId="8" borderId="74" xfId="0" applyNumberFormat="1" applyFont="1" applyFill="1" applyBorder="1"/>
    <xf numFmtId="1" fontId="112" fillId="0" borderId="74" xfId="0" applyNumberFormat="1" applyFont="1" applyBorder="1"/>
    <xf numFmtId="2" fontId="49" fillId="0" borderId="137" xfId="0" applyNumberFormat="1" applyFont="1" applyBorder="1"/>
    <xf numFmtId="2" fontId="112" fillId="8" borderId="133" xfId="0" applyNumberFormat="1" applyFont="1" applyFill="1" applyBorder="1"/>
    <xf numFmtId="2" fontId="112" fillId="0" borderId="133" xfId="0" applyNumberFormat="1" applyFont="1" applyBorder="1"/>
    <xf numFmtId="1" fontId="112" fillId="0" borderId="133" xfId="0" applyNumberFormat="1" applyFont="1" applyBorder="1"/>
    <xf numFmtId="2" fontId="49" fillId="0" borderId="135" xfId="0" applyNumberFormat="1" applyFont="1" applyBorder="1"/>
    <xf numFmtId="0" fontId="111" fillId="0" borderId="95" xfId="0" applyFont="1" applyBorder="1"/>
    <xf numFmtId="0" fontId="0" fillId="17" borderId="0" xfId="0" applyFill="1" applyBorder="1" applyAlignment="1">
      <alignment vertical="center"/>
    </xf>
    <xf numFmtId="0" fontId="16" fillId="17" borderId="0" xfId="0" applyFont="1" applyFill="1" applyBorder="1" applyAlignment="1">
      <alignment vertical="center"/>
    </xf>
    <xf numFmtId="0" fontId="22" fillId="16" borderId="0" xfId="0" applyFont="1" applyFill="1"/>
    <xf numFmtId="0" fontId="0" fillId="16" borderId="0" xfId="0" applyFill="1" applyBorder="1" applyAlignment="1">
      <alignment vertical="center"/>
    </xf>
    <xf numFmtId="0" fontId="0" fillId="16" borderId="0" xfId="0" applyFill="1" applyAlignment="1">
      <alignment vertical="top"/>
    </xf>
    <xf numFmtId="0" fontId="22" fillId="16" borderId="0" xfId="0" applyFont="1" applyFill="1" applyBorder="1" applyAlignment="1">
      <alignment vertical="center"/>
    </xf>
    <xf numFmtId="0" fontId="20" fillId="16" borderId="0" xfId="0" applyFont="1" applyFill="1" applyBorder="1" applyAlignment="1">
      <alignment vertical="center"/>
    </xf>
    <xf numFmtId="0" fontId="0" fillId="16" borderId="0" xfId="0" applyFill="1" applyAlignment="1">
      <alignment vertical="center"/>
    </xf>
    <xf numFmtId="0" fontId="22" fillId="16" borderId="0" xfId="0" applyFont="1" applyFill="1" applyAlignment="1">
      <alignment vertical="center"/>
    </xf>
    <xf numFmtId="0" fontId="20" fillId="16" borderId="0" xfId="0" applyFont="1" applyFill="1" applyAlignment="1">
      <alignment vertical="center"/>
    </xf>
    <xf numFmtId="0" fontId="20" fillId="16" borderId="0" xfId="0" applyFont="1" applyFill="1" applyBorder="1" applyAlignment="1">
      <alignment vertical="top"/>
    </xf>
    <xf numFmtId="0" fontId="20" fillId="16" borderId="0" xfId="0" applyFont="1" applyFill="1" applyBorder="1" applyAlignment="1">
      <alignment horizontal="center" vertical="center"/>
    </xf>
    <xf numFmtId="0" fontId="0" fillId="16" borderId="0" xfId="0" applyFill="1" applyAlignment="1">
      <alignment horizontal="center" vertical="center"/>
    </xf>
    <xf numFmtId="0" fontId="0" fillId="16" borderId="0" xfId="0" applyFill="1"/>
    <xf numFmtId="0" fontId="63" fillId="16" borderId="0" xfId="0" applyFont="1" applyFill="1" applyAlignment="1"/>
    <xf numFmtId="0" fontId="109" fillId="16" borderId="0" xfId="0" applyFont="1" applyFill="1" applyAlignment="1">
      <alignment vertical="center"/>
    </xf>
    <xf numFmtId="0" fontId="20" fillId="16" borderId="0" xfId="0" applyFont="1" applyFill="1"/>
    <xf numFmtId="0" fontId="109" fillId="16" borderId="0" xfId="0" applyFont="1" applyFill="1"/>
    <xf numFmtId="0" fontId="22" fillId="16" borderId="0" xfId="0" applyFont="1" applyFill="1" applyBorder="1" applyAlignment="1">
      <alignment vertical="top"/>
    </xf>
    <xf numFmtId="179" fontId="12" fillId="0" borderId="0" xfId="0" applyNumberFormat="1" applyFont="1" applyFill="1" applyBorder="1" applyAlignment="1">
      <alignment vertical="center"/>
    </xf>
    <xf numFmtId="0" fontId="28" fillId="0" borderId="0" xfId="0" applyFont="1" applyFill="1" applyBorder="1" applyAlignment="1">
      <alignment vertical="center"/>
    </xf>
    <xf numFmtId="0" fontId="16" fillId="0" borderId="0" xfId="0" applyFont="1" applyFill="1" applyBorder="1"/>
    <xf numFmtId="0" fontId="20" fillId="18" borderId="83" xfId="0" applyFont="1" applyFill="1" applyBorder="1"/>
    <xf numFmtId="0" fontId="20" fillId="18" borderId="85" xfId="0" applyFont="1" applyFill="1" applyBorder="1"/>
    <xf numFmtId="0" fontId="20" fillId="18" borderId="86" xfId="0" applyFont="1" applyFill="1" applyBorder="1"/>
    <xf numFmtId="0" fontId="113" fillId="18" borderId="63" xfId="3" applyFont="1" applyFill="1" applyBorder="1" applyAlignment="1" applyProtection="1"/>
    <xf numFmtId="0" fontId="110" fillId="18" borderId="0" xfId="0" applyFont="1" applyFill="1" applyBorder="1"/>
    <xf numFmtId="0" fontId="110" fillId="18" borderId="64" xfId="0" applyFont="1" applyFill="1" applyBorder="1"/>
    <xf numFmtId="0" fontId="20" fillId="18" borderId="65" xfId="0" applyFont="1" applyFill="1" applyBorder="1"/>
    <xf numFmtId="0" fontId="20" fillId="18" borderId="62" xfId="0" applyFont="1" applyFill="1" applyBorder="1"/>
    <xf numFmtId="0" fontId="20" fillId="18" borderId="66" xfId="0" applyFont="1" applyFill="1" applyBorder="1"/>
    <xf numFmtId="180" fontId="33" fillId="0" borderId="6" xfId="0" applyNumberFormat="1" applyFont="1" applyBorder="1" applyAlignment="1">
      <alignment vertical="center"/>
    </xf>
    <xf numFmtId="3" fontId="22" fillId="3" borderId="16" xfId="0" applyNumberFormat="1" applyFont="1" applyFill="1" applyBorder="1" applyAlignment="1" applyProtection="1">
      <alignment vertical="center"/>
      <protection locked="0"/>
    </xf>
    <xf numFmtId="3" fontId="22" fillId="4" borderId="9" xfId="0" applyNumberFormat="1" applyFont="1" applyFill="1" applyBorder="1" applyAlignment="1">
      <alignment vertical="center"/>
    </xf>
    <xf numFmtId="0" fontId="21" fillId="3" borderId="3" xfId="0" applyFont="1" applyFill="1" applyBorder="1" applyAlignment="1" applyProtection="1">
      <alignment vertical="center"/>
      <protection locked="0"/>
    </xf>
    <xf numFmtId="3" fontId="21" fillId="3" borderId="18" xfId="0" applyNumberFormat="1" applyFont="1" applyFill="1" applyBorder="1" applyAlignment="1" applyProtection="1">
      <alignment vertical="center"/>
      <protection locked="0"/>
    </xf>
    <xf numFmtId="3" fontId="21" fillId="4" borderId="8" xfId="0" applyNumberFormat="1" applyFont="1" applyFill="1" applyBorder="1" applyAlignment="1">
      <alignment vertical="center"/>
    </xf>
    <xf numFmtId="3" fontId="22" fillId="0" borderId="0" xfId="0" applyNumberFormat="1" applyFont="1" applyFill="1" applyBorder="1" applyAlignment="1" applyProtection="1">
      <alignment vertical="center"/>
      <protection locked="0"/>
    </xf>
    <xf numFmtId="3" fontId="21" fillId="0" borderId="0" xfId="0" applyNumberFormat="1" applyFont="1" applyFill="1" applyBorder="1" applyAlignment="1" applyProtection="1">
      <alignment vertical="center"/>
      <protection locked="0"/>
    </xf>
    <xf numFmtId="3" fontId="22" fillId="0" borderId="7" xfId="0" applyNumberFormat="1" applyFont="1" applyFill="1" applyBorder="1" applyAlignment="1" applyProtection="1">
      <alignment vertical="center"/>
      <protection locked="0"/>
    </xf>
    <xf numFmtId="0" fontId="15" fillId="0" borderId="13" xfId="0" applyFont="1" applyBorder="1" applyAlignment="1">
      <alignment vertical="center"/>
    </xf>
    <xf numFmtId="0" fontId="22" fillId="3" borderId="5" xfId="0" applyFont="1" applyFill="1" applyBorder="1" applyAlignment="1" applyProtection="1">
      <alignment vertical="center"/>
      <protection locked="0"/>
    </xf>
    <xf numFmtId="0" fontId="22" fillId="3" borderId="6" xfId="0" applyFont="1" applyFill="1" applyBorder="1" applyAlignment="1" applyProtection="1">
      <alignment vertical="center"/>
      <protection locked="0"/>
    </xf>
    <xf numFmtId="0" fontId="22" fillId="3" borderId="13" xfId="0" applyFont="1" applyFill="1" applyBorder="1" applyAlignment="1" applyProtection="1">
      <alignment vertical="center"/>
      <protection locked="0"/>
    </xf>
    <xf numFmtId="0" fontId="22" fillId="3" borderId="10" xfId="0" applyFont="1" applyFill="1" applyBorder="1" applyAlignment="1" applyProtection="1">
      <alignment vertical="center"/>
      <protection locked="0"/>
    </xf>
    <xf numFmtId="0" fontId="22" fillId="3" borderId="24" xfId="0" applyFont="1" applyFill="1" applyBorder="1" applyAlignment="1" applyProtection="1">
      <alignment vertical="center"/>
      <protection locked="0"/>
    </xf>
    <xf numFmtId="3" fontId="22" fillId="3" borderId="20" xfId="0" applyNumberFormat="1" applyFont="1" applyFill="1" applyBorder="1" applyAlignment="1" applyProtection="1">
      <alignment vertical="center"/>
      <protection locked="0"/>
    </xf>
    <xf numFmtId="0" fontId="22" fillId="0" borderId="0" xfId="0" applyFont="1" applyFill="1" applyBorder="1" applyAlignment="1">
      <alignment vertical="center"/>
    </xf>
    <xf numFmtId="3" fontId="22" fillId="3" borderId="6" xfId="0" applyNumberFormat="1" applyFont="1" applyFill="1" applyBorder="1" applyAlignment="1" applyProtection="1">
      <alignment vertical="center"/>
      <protection locked="0"/>
    </xf>
    <xf numFmtId="3" fontId="22" fillId="0" borderId="9" xfId="0" applyNumberFormat="1" applyFont="1" applyFill="1" applyBorder="1" applyAlignment="1" applyProtection="1">
      <alignment vertical="center"/>
      <protection locked="0"/>
    </xf>
    <xf numFmtId="0" fontId="22" fillId="0" borderId="53" xfId="0" applyFont="1" applyFill="1" applyBorder="1" applyAlignment="1">
      <alignment vertical="center"/>
    </xf>
    <xf numFmtId="3" fontId="92" fillId="0" borderId="0" xfId="0" applyNumberFormat="1" applyFont="1" applyFill="1" applyBorder="1" applyAlignment="1" applyProtection="1">
      <alignment vertical="center"/>
      <protection locked="0"/>
    </xf>
    <xf numFmtId="3" fontId="92" fillId="3" borderId="18" xfId="0" applyNumberFormat="1" applyFont="1" applyFill="1" applyBorder="1" applyAlignment="1" applyProtection="1">
      <alignment vertical="center"/>
      <protection locked="0"/>
    </xf>
    <xf numFmtId="0" fontId="22" fillId="0" borderId="0" xfId="0" applyFont="1" applyFill="1" applyBorder="1" applyAlignment="1" applyProtection="1">
      <alignment vertical="center"/>
      <protection locked="0"/>
    </xf>
    <xf numFmtId="3" fontId="22" fillId="0" borderId="0" xfId="0" applyNumberFormat="1" applyFont="1" applyFill="1" applyBorder="1" applyAlignment="1">
      <alignment vertical="center"/>
    </xf>
    <xf numFmtId="180" fontId="33" fillId="0" borderId="13" xfId="0" applyNumberFormat="1" applyFont="1" applyBorder="1" applyAlignment="1">
      <alignment horizontal="right" vertical="center"/>
    </xf>
    <xf numFmtId="180" fontId="33" fillId="0" borderId="10" xfId="0" applyNumberFormat="1" applyFont="1" applyBorder="1" applyAlignment="1">
      <alignment horizontal="right" vertical="center"/>
    </xf>
    <xf numFmtId="0" fontId="27" fillId="4" borderId="11" xfId="0" applyFont="1" applyFill="1" applyBorder="1" applyAlignment="1">
      <alignment horizontal="centerContinuous" vertical="center"/>
    </xf>
    <xf numFmtId="0" fontId="20" fillId="4" borderId="11" xfId="0" applyFont="1" applyFill="1" applyBorder="1" applyAlignment="1" applyProtection="1">
      <alignment horizontal="center" vertical="center"/>
    </xf>
    <xf numFmtId="3" fontId="22" fillId="4" borderId="3" xfId="0" applyNumberFormat="1" applyFont="1" applyFill="1" applyBorder="1" applyAlignment="1">
      <alignment vertical="center"/>
    </xf>
    <xf numFmtId="0" fontId="18" fillId="0" borderId="10" xfId="0" applyFont="1" applyBorder="1" applyAlignment="1">
      <alignment vertical="center"/>
    </xf>
    <xf numFmtId="0" fontId="20" fillId="0" borderId="52" xfId="0" applyFont="1" applyBorder="1" applyAlignment="1">
      <alignment horizontal="center" vertical="center" wrapText="1"/>
    </xf>
    <xf numFmtId="0" fontId="20" fillId="0" borderId="10" xfId="0" applyFont="1" applyBorder="1" applyAlignment="1">
      <alignment horizontal="center" vertical="center"/>
    </xf>
    <xf numFmtId="0" fontId="85" fillId="0" borderId="0" xfId="0" applyFont="1" applyAlignment="1">
      <alignment vertical="center"/>
    </xf>
    <xf numFmtId="0" fontId="23" fillId="0" borderId="0" xfId="0" applyFont="1"/>
    <xf numFmtId="0" fontId="101" fillId="14" borderId="103" xfId="0" applyFont="1" applyFill="1" applyBorder="1" applyAlignment="1" applyProtection="1">
      <alignment horizontal="right" vertical="center"/>
      <protection locked="0"/>
    </xf>
    <xf numFmtId="0" fontId="20" fillId="0" borderId="7" xfId="0" applyFont="1" applyBorder="1" applyAlignment="1">
      <alignment horizontal="right" vertical="center"/>
    </xf>
    <xf numFmtId="0" fontId="15" fillId="16" borderId="0" xfId="0" applyFont="1" applyFill="1" applyAlignment="1">
      <alignment horizontal="center" vertical="center"/>
    </xf>
    <xf numFmtId="49" fontId="18" fillId="7" borderId="134" xfId="8" applyNumberFormat="1" applyFont="1" applyFill="1" applyBorder="1" applyAlignment="1" applyProtection="1">
      <alignment vertical="center"/>
    </xf>
    <xf numFmtId="49" fontId="18" fillId="7" borderId="30" xfId="8" applyNumberFormat="1" applyFont="1" applyFill="1" applyBorder="1" applyAlignment="1" applyProtection="1">
      <alignment vertical="center"/>
    </xf>
    <xf numFmtId="0" fontId="18" fillId="7" borderId="133" xfId="8" applyFont="1" applyFill="1" applyBorder="1" applyAlignment="1" applyProtection="1">
      <alignment horizontal="right" vertical="center"/>
    </xf>
    <xf numFmtId="3" fontId="18" fillId="0" borderId="30" xfId="0" applyNumberFormat="1" applyFont="1" applyBorder="1" applyAlignment="1">
      <alignment horizontal="center" vertical="center"/>
    </xf>
    <xf numFmtId="3" fontId="18" fillId="0" borderId="52" xfId="0" applyNumberFormat="1" applyFont="1" applyBorder="1" applyAlignment="1">
      <alignment horizontal="center" vertical="center"/>
    </xf>
    <xf numFmtId="3" fontId="18" fillId="0" borderId="74" xfId="0" applyNumberFormat="1" applyFont="1" applyBorder="1" applyAlignment="1">
      <alignment horizontal="center" vertical="center"/>
    </xf>
    <xf numFmtId="3" fontId="18" fillId="0" borderId="31" xfId="0" applyNumberFormat="1" applyFont="1" applyBorder="1" applyAlignment="1">
      <alignment horizontal="center" vertical="center"/>
    </xf>
    <xf numFmtId="3" fontId="18" fillId="0" borderId="73" xfId="0" applyNumberFormat="1" applyFont="1" applyBorder="1" applyAlignment="1">
      <alignment horizontal="center" vertical="center"/>
    </xf>
    <xf numFmtId="0" fontId="18" fillId="7" borderId="0" xfId="8" applyFont="1" applyFill="1" applyBorder="1" applyAlignment="1" applyProtection="1">
      <alignment vertical="center"/>
    </xf>
    <xf numFmtId="0" fontId="23" fillId="7" borderId="64" xfId="8" applyFont="1" applyFill="1" applyBorder="1" applyAlignment="1" applyProtection="1">
      <alignment horizontal="right" vertical="center"/>
    </xf>
    <xf numFmtId="2" fontId="23" fillId="0" borderId="0" xfId="0" applyNumberFormat="1" applyFont="1" applyBorder="1" applyAlignment="1">
      <alignment horizontal="center" vertical="center"/>
    </xf>
    <xf numFmtId="166" fontId="23" fillId="0" borderId="8" xfId="0" applyNumberFormat="1" applyFont="1" applyBorder="1" applyAlignment="1">
      <alignment horizontal="center" vertical="center"/>
    </xf>
    <xf numFmtId="166" fontId="23" fillId="0" borderId="68" xfId="0" applyNumberFormat="1" applyFont="1" applyBorder="1" applyAlignment="1">
      <alignment horizontal="center" vertical="center"/>
    </xf>
    <xf numFmtId="166" fontId="23" fillId="0" borderId="10" xfId="0" applyNumberFormat="1" applyFont="1" applyBorder="1" applyAlignment="1">
      <alignment horizontal="center" vertical="center"/>
    </xf>
    <xf numFmtId="166" fontId="23" fillId="0" borderId="67" xfId="0" applyNumberFormat="1" applyFont="1" applyBorder="1" applyAlignment="1">
      <alignment horizontal="center" vertical="center"/>
    </xf>
    <xf numFmtId="166" fontId="23" fillId="0" borderId="0" xfId="0" applyNumberFormat="1" applyFont="1" applyBorder="1" applyAlignment="1">
      <alignment horizontal="center" vertical="center"/>
    </xf>
    <xf numFmtId="49" fontId="18" fillId="7" borderId="63" xfId="8" applyNumberFormat="1" applyFont="1" applyFill="1" applyBorder="1" applyAlignment="1" applyProtection="1">
      <alignment vertical="center"/>
    </xf>
    <xf numFmtId="49" fontId="18" fillId="7" borderId="0" xfId="8" applyNumberFormat="1" applyFont="1" applyFill="1" applyBorder="1" applyAlignment="1" applyProtection="1">
      <alignment vertical="center"/>
    </xf>
    <xf numFmtId="0" fontId="18" fillId="7" borderId="63" xfId="0" applyFont="1" applyFill="1" applyBorder="1" applyAlignment="1">
      <alignment vertical="center"/>
    </xf>
    <xf numFmtId="0" fontId="18" fillId="7" borderId="0" xfId="0" applyFont="1" applyFill="1" applyBorder="1" applyAlignment="1">
      <alignment vertical="center"/>
    </xf>
    <xf numFmtId="0" fontId="18" fillId="7" borderId="64" xfId="8" applyFont="1" applyFill="1" applyBorder="1" applyAlignment="1" applyProtection="1">
      <alignment horizontal="right" vertical="center"/>
    </xf>
    <xf numFmtId="166" fontId="18" fillId="0" borderId="0" xfId="0" applyNumberFormat="1" applyFont="1" applyBorder="1" applyAlignment="1">
      <alignment horizontal="center" vertical="center"/>
    </xf>
    <xf numFmtId="166" fontId="18" fillId="0" borderId="8" xfId="0" applyNumberFormat="1" applyFont="1" applyBorder="1" applyAlignment="1">
      <alignment horizontal="center" vertical="center"/>
    </xf>
    <xf numFmtId="166" fontId="18" fillId="0" borderId="10" xfId="0" applyNumberFormat="1" applyFont="1" applyBorder="1" applyAlignment="1">
      <alignment horizontal="center" vertical="center"/>
    </xf>
    <xf numFmtId="166" fontId="18" fillId="0" borderId="67" xfId="0" applyNumberFormat="1" applyFont="1" applyBorder="1" applyAlignment="1">
      <alignment horizontal="center" vertical="center"/>
    </xf>
    <xf numFmtId="166" fontId="18" fillId="0" borderId="68" xfId="0" applyNumberFormat="1" applyFont="1" applyBorder="1" applyAlignment="1">
      <alignment horizontal="center" vertical="center"/>
    </xf>
    <xf numFmtId="0" fontId="18" fillId="7" borderId="72" xfId="0" applyFont="1" applyFill="1" applyBorder="1" applyAlignment="1">
      <alignment vertical="center"/>
    </xf>
    <xf numFmtId="0" fontId="18" fillId="7" borderId="7" xfId="0" applyFont="1" applyFill="1" applyBorder="1" applyAlignment="1">
      <alignment vertical="center"/>
    </xf>
    <xf numFmtId="2" fontId="18" fillId="0" borderId="69" xfId="0" applyNumberFormat="1" applyFont="1" applyBorder="1" applyAlignment="1">
      <alignment horizontal="center" vertical="center"/>
    </xf>
    <xf numFmtId="2" fontId="18" fillId="0" borderId="24" xfId="0" applyNumberFormat="1" applyFont="1" applyBorder="1" applyAlignment="1">
      <alignment horizontal="center" vertical="center"/>
    </xf>
    <xf numFmtId="2" fontId="18" fillId="0" borderId="53" xfId="0" applyNumberFormat="1" applyFont="1" applyBorder="1" applyAlignment="1">
      <alignment horizontal="center" vertical="center"/>
    </xf>
    <xf numFmtId="2" fontId="18" fillId="0" borderId="71" xfId="0" applyNumberFormat="1" applyFont="1" applyBorder="1" applyAlignment="1">
      <alignment horizontal="center" vertical="center"/>
    </xf>
    <xf numFmtId="0" fontId="28" fillId="0" borderId="0" xfId="0" applyFont="1"/>
    <xf numFmtId="49" fontId="16" fillId="0" borderId="4" xfId="0" applyNumberFormat="1" applyFont="1" applyBorder="1" applyAlignment="1">
      <alignment horizontal="left"/>
    </xf>
    <xf numFmtId="0" fontId="18" fillId="19" borderId="21" xfId="0" applyFont="1" applyFill="1" applyBorder="1" applyAlignment="1">
      <alignment vertical="center"/>
    </xf>
    <xf numFmtId="0" fontId="0" fillId="19" borderId="22" xfId="0" applyFill="1" applyBorder="1" applyAlignment="1">
      <alignment vertical="center"/>
    </xf>
    <xf numFmtId="0" fontId="0" fillId="19" borderId="22" xfId="0" applyFill="1" applyBorder="1"/>
    <xf numFmtId="0" fontId="0" fillId="19" borderId="35" xfId="0" applyFill="1" applyBorder="1" applyAlignment="1">
      <alignment vertical="center"/>
    </xf>
    <xf numFmtId="49" fontId="16" fillId="11" borderId="3" xfId="0" applyNumberFormat="1" applyFont="1" applyFill="1" applyBorder="1" applyAlignment="1"/>
    <xf numFmtId="0" fontId="43" fillId="2" borderId="0" xfId="0" applyFont="1" applyFill="1" applyBorder="1" applyAlignment="1">
      <alignment horizontal="center"/>
    </xf>
    <xf numFmtId="0" fontId="0" fillId="2" borderId="10" xfId="0" applyFill="1" applyBorder="1" applyAlignment="1">
      <alignment horizontal="center"/>
    </xf>
    <xf numFmtId="0" fontId="16" fillId="2" borderId="7" xfId="0" applyFont="1" applyFill="1" applyBorder="1" applyAlignment="1">
      <alignment horizontal="center"/>
    </xf>
    <xf numFmtId="0" fontId="43" fillId="2" borderId="13" xfId="0" applyFont="1" applyFill="1" applyBorder="1" applyAlignment="1">
      <alignment horizontal="center"/>
    </xf>
    <xf numFmtId="0" fontId="15" fillId="2" borderId="3" xfId="0" applyFont="1" applyFill="1" applyBorder="1" applyAlignment="1">
      <alignment horizontal="center"/>
    </xf>
    <xf numFmtId="0" fontId="15" fillId="2" borderId="5" xfId="0" applyFont="1" applyFill="1" applyBorder="1" applyAlignment="1">
      <alignment horizontal="center"/>
    </xf>
    <xf numFmtId="169" fontId="16" fillId="2" borderId="3" xfId="0" applyNumberFormat="1" applyFont="1" applyFill="1" applyBorder="1" applyAlignment="1">
      <alignment horizontal="left" wrapText="1"/>
    </xf>
    <xf numFmtId="199" fontId="0" fillId="0" borderId="7" xfId="0" applyNumberFormat="1" applyBorder="1" applyAlignment="1">
      <alignment horizontal="left"/>
    </xf>
    <xf numFmtId="199" fontId="0" fillId="0" borderId="24" xfId="0" applyNumberFormat="1" applyBorder="1" applyAlignment="1">
      <alignment horizontal="right"/>
    </xf>
    <xf numFmtId="199" fontId="16" fillId="0" borderId="0" xfId="0" applyNumberFormat="1" applyFont="1" applyBorder="1" applyAlignment="1">
      <alignment horizontal="left"/>
    </xf>
    <xf numFmtId="199" fontId="16" fillId="0" borderId="7" xfId="0" applyNumberFormat="1" applyFont="1" applyBorder="1" applyAlignment="1">
      <alignment horizontal="left"/>
    </xf>
    <xf numFmtId="0" fontId="15" fillId="2" borderId="4" xfId="0" applyFont="1" applyFill="1" applyBorder="1" applyAlignment="1">
      <alignment horizontal="center"/>
    </xf>
    <xf numFmtId="0" fontId="20" fillId="0" borderId="141" xfId="0" applyFont="1" applyBorder="1" applyAlignment="1">
      <alignment horizontal="center" wrapText="1"/>
    </xf>
    <xf numFmtId="0" fontId="20" fillId="0" borderId="114" xfId="0" applyFont="1" applyBorder="1" applyAlignment="1">
      <alignment horizontal="center" wrapText="1"/>
    </xf>
    <xf numFmtId="0" fontId="20" fillId="0" borderId="143" xfId="0" applyFont="1" applyBorder="1" applyAlignment="1">
      <alignment horizontal="center" wrapText="1"/>
    </xf>
    <xf numFmtId="0" fontId="20" fillId="0" borderId="117" xfId="0" applyFont="1" applyBorder="1" applyAlignment="1">
      <alignment horizontal="center" wrapText="1"/>
    </xf>
    <xf numFmtId="0" fontId="15" fillId="20" borderId="5" xfId="0" applyFont="1" applyFill="1" applyBorder="1" applyAlignment="1">
      <alignment horizontal="left" vertical="center"/>
    </xf>
    <xf numFmtId="0" fontId="15" fillId="20" borderId="3" xfId="0" applyFont="1" applyFill="1" applyBorder="1" applyAlignment="1">
      <alignment horizontal="left" vertical="center"/>
    </xf>
    <xf numFmtId="0" fontId="15" fillId="20" borderId="8" xfId="0" applyFont="1" applyFill="1" applyBorder="1" applyAlignment="1">
      <alignment horizontal="left" vertical="center"/>
    </xf>
    <xf numFmtId="0" fontId="15" fillId="20" borderId="4" xfId="0" applyFont="1" applyFill="1" applyBorder="1" applyAlignment="1">
      <alignment horizontal="left" vertical="center"/>
    </xf>
    <xf numFmtId="0" fontId="15" fillId="20" borderId="53" xfId="0" applyFont="1" applyFill="1" applyBorder="1" applyAlignment="1">
      <alignment horizontal="left" vertical="center"/>
    </xf>
    <xf numFmtId="9" fontId="16" fillId="21" borderId="4" xfId="0" applyNumberFormat="1" applyFont="1" applyFill="1" applyBorder="1" applyAlignment="1">
      <alignment horizontal="left" vertical="center"/>
    </xf>
    <xf numFmtId="9" fontId="16" fillId="21" borderId="7" xfId="0" applyNumberFormat="1" applyFont="1" applyFill="1" applyBorder="1" applyAlignment="1">
      <alignment horizontal="left" vertical="center"/>
    </xf>
    <xf numFmtId="9" fontId="16" fillId="21" borderId="24" xfId="0" applyNumberFormat="1" applyFont="1" applyFill="1" applyBorder="1" applyAlignment="1">
      <alignment horizontal="left" vertical="center"/>
    </xf>
    <xf numFmtId="0" fontId="15" fillId="20" borderId="5" xfId="0" applyFont="1" applyFill="1" applyBorder="1" applyAlignment="1">
      <alignment horizontal="center"/>
    </xf>
    <xf numFmtId="0" fontId="15" fillId="20" borderId="5" xfId="0" applyFont="1" applyFill="1" applyBorder="1" applyAlignment="1">
      <alignment horizontal="centerContinuous"/>
    </xf>
    <xf numFmtId="0" fontId="0" fillId="20" borderId="6" xfId="0" applyFill="1" applyBorder="1" applyAlignment="1">
      <alignment horizontal="centerContinuous"/>
    </xf>
    <xf numFmtId="0" fontId="0" fillId="20" borderId="13" xfId="0" applyFill="1" applyBorder="1" applyAlignment="1">
      <alignment horizontal="centerContinuous"/>
    </xf>
    <xf numFmtId="0" fontId="15" fillId="20" borderId="4" xfId="0" applyFont="1" applyFill="1" applyBorder="1" applyAlignment="1">
      <alignment horizontal="center" vertical="center"/>
    </xf>
    <xf numFmtId="0" fontId="16" fillId="20" borderId="4" xfId="0" applyFont="1" applyFill="1" applyBorder="1" applyAlignment="1">
      <alignment horizontal="center" vertical="center"/>
    </xf>
    <xf numFmtId="0" fontId="16" fillId="20" borderId="7" xfId="0" applyFont="1" applyFill="1" applyBorder="1" applyAlignment="1">
      <alignment horizontal="center" vertical="center"/>
    </xf>
    <xf numFmtId="0" fontId="16" fillId="20" borderId="24" xfId="0" applyFont="1" applyFill="1" applyBorder="1" applyAlignment="1">
      <alignment horizontal="center" vertical="center"/>
    </xf>
    <xf numFmtId="0" fontId="15" fillId="20" borderId="8" xfId="0" applyFont="1" applyFill="1" applyBorder="1" applyAlignment="1">
      <alignment horizontal="center" vertical="center"/>
    </xf>
    <xf numFmtId="0" fontId="15" fillId="20" borderId="5" xfId="0" applyFont="1" applyFill="1" applyBorder="1" applyAlignment="1">
      <alignment horizontal="centerContinuous" vertical="center"/>
    </xf>
    <xf numFmtId="0" fontId="15" fillId="20" borderId="6" xfId="0" applyFont="1" applyFill="1" applyBorder="1" applyAlignment="1">
      <alignment horizontal="centerContinuous" vertical="center"/>
    </xf>
    <xf numFmtId="0" fontId="15" fillId="20" borderId="13" xfId="0" applyFont="1" applyFill="1" applyBorder="1" applyAlignment="1">
      <alignment horizontal="centerContinuous" vertical="center"/>
    </xf>
    <xf numFmtId="0" fontId="16" fillId="20" borderId="3" xfId="0" applyFont="1" applyFill="1" applyBorder="1" applyAlignment="1">
      <alignment horizontal="center" vertical="center"/>
    </xf>
    <xf numFmtId="0" fontId="16" fillId="20" borderId="0" xfId="0" applyFont="1" applyFill="1" applyBorder="1" applyAlignment="1">
      <alignment horizontal="center" vertical="center"/>
    </xf>
    <xf numFmtId="0" fontId="16" fillId="20" borderId="10" xfId="0" applyFont="1" applyFill="1" applyBorder="1" applyAlignment="1">
      <alignment horizontal="center" vertical="center"/>
    </xf>
    <xf numFmtId="0" fontId="16" fillId="20" borderId="3" xfId="0" applyFont="1" applyFill="1" applyBorder="1" applyAlignment="1">
      <alignment horizontal="centerContinuous" vertical="center"/>
    </xf>
    <xf numFmtId="0" fontId="16" fillId="20" borderId="0" xfId="0" applyFont="1" applyFill="1" applyBorder="1" applyAlignment="1">
      <alignment horizontal="centerContinuous" vertical="center"/>
    </xf>
    <xf numFmtId="0" fontId="16" fillId="20" borderId="10" xfId="0" applyFont="1" applyFill="1" applyBorder="1" applyAlignment="1">
      <alignment horizontal="centerContinuous" vertical="center"/>
    </xf>
    <xf numFmtId="0" fontId="15" fillId="20" borderId="53" xfId="0" applyFont="1" applyFill="1" applyBorder="1" applyAlignment="1">
      <alignment horizontal="center" vertical="center"/>
    </xf>
    <xf numFmtId="184" fontId="0" fillId="20" borderId="7" xfId="0" applyNumberFormat="1" applyFill="1" applyBorder="1" applyAlignment="1">
      <alignment horizontal="center" vertical="center"/>
    </xf>
    <xf numFmtId="184" fontId="0" fillId="20" borderId="24" xfId="0" applyNumberFormat="1" applyFill="1" applyBorder="1" applyAlignment="1">
      <alignment horizontal="center" vertical="center"/>
    </xf>
    <xf numFmtId="0" fontId="0" fillId="20" borderId="0" xfId="0" applyFill="1" applyAlignment="1">
      <alignment vertical="center"/>
    </xf>
    <xf numFmtId="0" fontId="40" fillId="20" borderId="0" xfId="0" applyFont="1" applyFill="1" applyBorder="1" applyAlignment="1">
      <alignment horizontal="center" vertical="center"/>
    </xf>
    <xf numFmtId="0" fontId="0" fillId="20" borderId="9" xfId="0" applyFill="1" applyBorder="1" applyAlignment="1">
      <alignment vertical="center"/>
    </xf>
    <xf numFmtId="0" fontId="15" fillId="20" borderId="0" xfId="0" applyFont="1" applyFill="1" applyBorder="1" applyAlignment="1">
      <alignment horizontal="centerContinuous" vertical="center"/>
    </xf>
    <xf numFmtId="0" fontId="15" fillId="20" borderId="10" xfId="0" applyFont="1" applyFill="1" applyBorder="1" applyAlignment="1">
      <alignment horizontal="centerContinuous" vertical="center"/>
    </xf>
    <xf numFmtId="0" fontId="15" fillId="20" borderId="9" xfId="0" applyFont="1" applyFill="1" applyBorder="1" applyAlignment="1">
      <alignment horizontal="centerContinuous" vertical="center"/>
    </xf>
    <xf numFmtId="0" fontId="15" fillId="20" borderId="8" xfId="0" applyFont="1" applyFill="1" applyBorder="1" applyAlignment="1">
      <alignment horizontal="centerContinuous" vertical="center"/>
    </xf>
    <xf numFmtId="0" fontId="15" fillId="20" borderId="3" xfId="0" applyFont="1" applyFill="1" applyBorder="1" applyAlignment="1">
      <alignment horizontal="centerContinuous" vertical="center"/>
    </xf>
    <xf numFmtId="0" fontId="15" fillId="20" borderId="7" xfId="0" applyFont="1" applyFill="1" applyBorder="1" applyAlignment="1">
      <alignment horizontal="center" vertical="center"/>
    </xf>
    <xf numFmtId="0" fontId="16" fillId="20" borderId="7" xfId="0" applyFont="1" applyFill="1" applyBorder="1" applyAlignment="1">
      <alignment horizontal="centerContinuous" vertical="center"/>
    </xf>
    <xf numFmtId="0" fontId="16" fillId="20" borderId="24" xfId="0" applyFont="1" applyFill="1" applyBorder="1" applyAlignment="1">
      <alignment horizontal="centerContinuous" vertical="center"/>
    </xf>
    <xf numFmtId="0" fontId="40" fillId="20" borderId="7" xfId="0" applyFont="1" applyFill="1" applyBorder="1" applyAlignment="1">
      <alignment horizontal="center" vertical="center"/>
    </xf>
    <xf numFmtId="2" fontId="0" fillId="22" borderId="0" xfId="0" applyNumberFormat="1" applyFill="1" applyBorder="1" applyAlignment="1">
      <alignment horizontal="center"/>
    </xf>
    <xf numFmtId="0" fontId="15" fillId="20" borderId="8" xfId="0" applyFont="1" applyFill="1" applyBorder="1" applyAlignment="1">
      <alignment vertical="center"/>
    </xf>
    <xf numFmtId="0" fontId="15" fillId="20" borderId="9" xfId="0" applyFont="1" applyFill="1" applyBorder="1" applyAlignment="1">
      <alignment vertical="center"/>
    </xf>
    <xf numFmtId="0" fontId="15" fillId="20" borderId="8" xfId="0" applyFont="1" applyFill="1" applyBorder="1" applyAlignment="1">
      <alignment horizontal="left"/>
    </xf>
    <xf numFmtId="0" fontId="15" fillId="20" borderId="6" xfId="0" applyFont="1" applyFill="1" applyBorder="1" applyAlignment="1">
      <alignment horizontal="center" vertical="center"/>
    </xf>
    <xf numFmtId="0" fontId="15" fillId="20" borderId="13" xfId="0" applyFont="1" applyFill="1" applyBorder="1" applyAlignment="1">
      <alignment horizontal="center" vertical="center"/>
    </xf>
    <xf numFmtId="0" fontId="15" fillId="4" borderId="5" xfId="0" applyFont="1" applyFill="1" applyBorder="1" applyAlignment="1">
      <alignment horizontal="center" vertical="center"/>
    </xf>
    <xf numFmtId="49" fontId="16" fillId="0" borderId="3" xfId="0" applyNumberFormat="1" applyFont="1" applyFill="1" applyBorder="1" applyAlignment="1">
      <alignment horizontal="left"/>
    </xf>
    <xf numFmtId="49" fontId="16" fillId="0" borderId="3" xfId="0" applyNumberFormat="1" applyFont="1" applyBorder="1" applyAlignment="1"/>
    <xf numFmtId="0" fontId="16" fillId="4" borderId="10" xfId="0" applyFont="1" applyFill="1" applyBorder="1" applyAlignment="1">
      <alignment horizontal="left" vertical="center"/>
    </xf>
    <xf numFmtId="9" fontId="0" fillId="0" borderId="3" xfId="0" applyNumberFormat="1" applyBorder="1" applyAlignment="1">
      <alignment horizontal="right"/>
    </xf>
    <xf numFmtId="9" fontId="0" fillId="0" borderId="3" xfId="0" applyNumberFormat="1" applyFont="1" applyBorder="1" applyAlignment="1">
      <alignment horizontal="right"/>
    </xf>
    <xf numFmtId="9" fontId="16" fillId="0" borderId="4" xfId="0" applyNumberFormat="1" applyFont="1" applyBorder="1" applyAlignment="1">
      <alignment horizontal="right"/>
    </xf>
    <xf numFmtId="0" fontId="20" fillId="4" borderId="30" xfId="0" applyFont="1" applyFill="1" applyBorder="1" applyAlignment="1">
      <alignment horizontal="center" vertical="center"/>
    </xf>
    <xf numFmtId="0" fontId="15" fillId="0" borderId="31" xfId="0" applyFont="1" applyBorder="1" applyAlignment="1">
      <alignment horizontal="center"/>
    </xf>
    <xf numFmtId="9" fontId="0" fillId="23" borderId="9" xfId="0" applyNumberFormat="1" applyFill="1" applyBorder="1" applyAlignment="1">
      <alignment horizontal="center"/>
    </xf>
    <xf numFmtId="9" fontId="0" fillId="23" borderId="8" xfId="0" applyNumberFormat="1" applyFill="1" applyBorder="1" applyAlignment="1">
      <alignment horizontal="center"/>
    </xf>
    <xf numFmtId="2" fontId="0" fillId="23" borderId="8" xfId="0" applyNumberFormat="1" applyFill="1" applyBorder="1" applyAlignment="1">
      <alignment horizontal="center"/>
    </xf>
    <xf numFmtId="166" fontId="0" fillId="23" borderId="8" xfId="0" applyNumberFormat="1" applyFill="1" applyBorder="1" applyAlignment="1">
      <alignment horizontal="center"/>
    </xf>
    <xf numFmtId="166" fontId="0" fillId="23" borderId="53" xfId="0" applyNumberFormat="1" applyFill="1" applyBorder="1" applyAlignment="1">
      <alignment horizontal="center"/>
    </xf>
    <xf numFmtId="0" fontId="16" fillId="4" borderId="0" xfId="0" applyFont="1" applyFill="1" applyBorder="1" applyAlignment="1">
      <alignment horizontal="left" vertical="center"/>
    </xf>
    <xf numFmtId="0" fontId="118" fillId="0" borderId="85" xfId="0" applyFont="1" applyBorder="1" applyAlignment="1">
      <alignment horizontal="center" vertical="center"/>
    </xf>
    <xf numFmtId="0" fontId="31" fillId="18" borderId="85" xfId="0" applyFont="1" applyFill="1" applyBorder="1" applyAlignment="1">
      <alignment horizontal="center" vertical="center"/>
    </xf>
    <xf numFmtId="0" fontId="31" fillId="18" borderId="85" xfId="0" applyFont="1" applyFill="1" applyBorder="1" applyAlignment="1" applyProtection="1">
      <alignment horizontal="center" vertical="center"/>
    </xf>
    <xf numFmtId="0" fontId="119" fillId="18" borderId="0" xfId="0" applyFont="1" applyFill="1" applyAlignment="1" applyProtection="1">
      <alignment horizontal="center" vertical="center"/>
      <protection locked="0"/>
    </xf>
    <xf numFmtId="0" fontId="23" fillId="24" borderId="0" xfId="0" applyFont="1" applyFill="1" applyAlignment="1" applyProtection="1">
      <alignment horizontal="left" vertical="center"/>
    </xf>
    <xf numFmtId="180" fontId="120" fillId="0" borderId="52" xfId="0" applyNumberFormat="1" applyFont="1" applyBorder="1" applyAlignment="1" applyProtection="1">
      <alignment horizontal="center" vertical="center"/>
    </xf>
    <xf numFmtId="0" fontId="20" fillId="0" borderId="11" xfId="0" applyFont="1" applyBorder="1" applyAlignment="1">
      <alignment horizontal="center" vertical="center"/>
    </xf>
    <xf numFmtId="0" fontId="22" fillId="0" borderId="0" xfId="0" applyFont="1" applyAlignment="1">
      <alignment horizontal="centerContinuous"/>
    </xf>
    <xf numFmtId="0" fontId="22" fillId="0" borderId="0" xfId="0" applyFont="1" applyBorder="1" applyAlignment="1">
      <alignment horizontal="right" vertical="top"/>
    </xf>
    <xf numFmtId="0" fontId="0" fillId="20" borderId="6" xfId="0" applyFill="1" applyBorder="1"/>
    <xf numFmtId="0" fontId="62" fillId="20" borderId="5" xfId="0" applyFont="1" applyFill="1" applyBorder="1" applyAlignment="1">
      <alignment vertical="top"/>
    </xf>
    <xf numFmtId="0" fontId="0" fillId="20" borderId="13" xfId="0" applyFill="1" applyBorder="1"/>
    <xf numFmtId="49" fontId="22" fillId="0" borderId="153" xfId="0" applyNumberFormat="1" applyFont="1" applyBorder="1" applyAlignment="1">
      <alignment horizontal="center"/>
    </xf>
    <xf numFmtId="49" fontId="22" fillId="0" borderId="153" xfId="0" applyNumberFormat="1" applyFont="1" applyBorder="1" applyAlignment="1">
      <alignment horizontal="right"/>
    </xf>
    <xf numFmtId="49" fontId="22" fillId="0" borderId="153" xfId="0" applyNumberFormat="1" applyFont="1" applyBorder="1" applyAlignment="1"/>
    <xf numFmtId="0" fontId="22" fillId="0" borderId="153" xfId="0" applyFont="1" applyBorder="1" applyAlignment="1"/>
    <xf numFmtId="49" fontId="22" fillId="0" borderId="154" xfId="0" applyNumberFormat="1" applyFont="1" applyBorder="1" applyAlignment="1"/>
    <xf numFmtId="0" fontId="20" fillId="0" borderId="152" xfId="0" applyFont="1" applyBorder="1" applyAlignment="1">
      <alignment horizontal="center" wrapText="1"/>
    </xf>
    <xf numFmtId="0" fontId="20" fillId="0" borderId="153" xfId="0" applyFont="1" applyBorder="1" applyAlignment="1">
      <alignment horizontal="center" wrapText="1"/>
    </xf>
    <xf numFmtId="0" fontId="20" fillId="0" borderId="154" xfId="0" applyFont="1" applyBorder="1" applyAlignment="1">
      <alignment horizontal="center" wrapText="1"/>
    </xf>
    <xf numFmtId="0" fontId="20" fillId="25" borderId="0" xfId="0" applyFont="1" applyFill="1" applyBorder="1" applyAlignment="1">
      <alignment vertical="top"/>
    </xf>
    <xf numFmtId="0" fontId="22" fillId="0" borderId="0" xfId="0" applyFont="1" applyBorder="1" applyAlignment="1">
      <alignment horizontal="right"/>
    </xf>
    <xf numFmtId="0" fontId="22" fillId="0" borderId="6" xfId="0" applyFont="1" applyBorder="1"/>
    <xf numFmtId="0" fontId="22" fillId="0" borderId="13" xfId="0" applyFont="1" applyBorder="1"/>
    <xf numFmtId="0" fontId="22" fillId="23" borderId="7" xfId="0" applyFont="1" applyFill="1" applyBorder="1" applyAlignment="1"/>
    <xf numFmtId="49" fontId="22" fillId="0" borderId="154" xfId="0" applyNumberFormat="1" applyFont="1" applyBorder="1" applyAlignment="1">
      <alignment horizontal="center"/>
    </xf>
    <xf numFmtId="49" fontId="22" fillId="0" borderId="115" xfId="0" applyNumberFormat="1" applyFont="1" applyBorder="1" applyAlignment="1">
      <alignment horizontal="center"/>
    </xf>
    <xf numFmtId="204" fontId="20" fillId="0" borderId="118" xfId="0" applyNumberFormat="1" applyFont="1" applyBorder="1" applyAlignment="1">
      <alignment horizontal="center"/>
    </xf>
    <xf numFmtId="49" fontId="22" fillId="0" borderId="155" xfId="0" applyNumberFormat="1" applyFont="1" applyBorder="1" applyAlignment="1">
      <alignment horizontal="center"/>
    </xf>
    <xf numFmtId="0" fontId="22" fillId="0" borderId="157" xfId="0" applyFont="1" applyBorder="1" applyAlignment="1">
      <alignment horizontal="center"/>
    </xf>
    <xf numFmtId="166" fontId="22" fillId="20" borderId="52" xfId="0" applyNumberFormat="1" applyFont="1" applyFill="1" applyBorder="1" applyAlignment="1" applyProtection="1">
      <alignment horizontal="center" vertical="center"/>
    </xf>
    <xf numFmtId="0" fontId="18" fillId="19" borderId="11" xfId="0" applyFont="1" applyFill="1" applyBorder="1" applyAlignment="1">
      <alignment vertical="center"/>
    </xf>
    <xf numFmtId="0" fontId="0" fillId="19" borderId="30" xfId="0" applyFill="1" applyBorder="1" applyAlignment="1">
      <alignment vertical="center"/>
    </xf>
    <xf numFmtId="0" fontId="20" fillId="19" borderId="11" xfId="0" applyFont="1" applyFill="1" applyBorder="1" applyAlignment="1">
      <alignment horizontal="center" vertical="center"/>
    </xf>
    <xf numFmtId="0" fontId="20" fillId="19" borderId="30" xfId="0" applyFont="1" applyFill="1" applyBorder="1" applyAlignment="1">
      <alignment horizontal="center" vertical="center"/>
    </xf>
    <xf numFmtId="0" fontId="20" fillId="19" borderId="30" xfId="0" applyFont="1" applyFill="1" applyBorder="1" applyAlignment="1" applyProtection="1">
      <alignment horizontal="center" vertical="center"/>
    </xf>
    <xf numFmtId="176" fontId="22" fillId="19" borderId="52" xfId="0" applyNumberFormat="1" applyFont="1" applyFill="1" applyBorder="1" applyAlignment="1">
      <alignment vertical="center"/>
    </xf>
    <xf numFmtId="0" fontId="20" fillId="19" borderId="30" xfId="0" applyFont="1" applyFill="1" applyBorder="1" applyAlignment="1">
      <alignment horizontal="left" vertical="center"/>
    </xf>
    <xf numFmtId="0" fontId="20" fillId="0" borderId="0" xfId="0" applyFont="1" applyBorder="1" applyAlignment="1">
      <alignment vertical="top"/>
    </xf>
    <xf numFmtId="0" fontId="20" fillId="19" borderId="11" xfId="0" applyFont="1" applyFill="1" applyBorder="1" applyAlignment="1">
      <alignment vertical="center"/>
    </xf>
    <xf numFmtId="0" fontId="4" fillId="0" borderId="0" xfId="0" applyFont="1" applyAlignment="1">
      <alignment horizontal="left" vertical="top"/>
    </xf>
    <xf numFmtId="0" fontId="22" fillId="0" borderId="5" xfId="0" applyFont="1" applyBorder="1" applyAlignment="1">
      <alignment horizontal="center" vertical="center"/>
    </xf>
    <xf numFmtId="0" fontId="0" fillId="0" borderId="6" xfId="0" applyBorder="1" applyAlignment="1">
      <alignment horizontal="center" vertical="center"/>
    </xf>
    <xf numFmtId="0" fontId="0" fillId="0" borderId="13" xfId="0" applyBorder="1" applyAlignment="1">
      <alignment horizontal="center" vertical="center"/>
    </xf>
    <xf numFmtId="0" fontId="22" fillId="4" borderId="9" xfId="0" applyFont="1" applyFill="1" applyBorder="1" applyAlignment="1">
      <alignment horizontal="center" vertical="center"/>
    </xf>
    <xf numFmtId="166" fontId="22" fillId="20" borderId="9" xfId="0" applyNumberFormat="1" applyFont="1" applyFill="1" applyBorder="1" applyAlignment="1" applyProtection="1">
      <alignment horizontal="center" vertical="center"/>
    </xf>
    <xf numFmtId="0" fontId="0" fillId="19" borderId="31" xfId="0" applyFill="1" applyBorder="1" applyAlignment="1">
      <alignment vertical="center"/>
    </xf>
    <xf numFmtId="16" fontId="22" fillId="0" borderId="10" xfId="0" applyNumberFormat="1" applyFont="1" applyBorder="1" applyAlignment="1" applyProtection="1">
      <alignment vertical="center"/>
    </xf>
    <xf numFmtId="0" fontId="22" fillId="0" borderId="4" xfId="0" applyFont="1" applyBorder="1"/>
    <xf numFmtId="166" fontId="22" fillId="0" borderId="4" xfId="0" applyNumberFormat="1" applyFont="1" applyBorder="1"/>
    <xf numFmtId="0" fontId="22" fillId="0" borderId="24" xfId="0" applyFont="1" applyBorder="1" applyAlignment="1" applyProtection="1">
      <alignment vertical="center"/>
    </xf>
    <xf numFmtId="0" fontId="16" fillId="16" borderId="0" xfId="0" applyFont="1" applyFill="1" applyBorder="1" applyAlignment="1">
      <alignment vertical="center"/>
    </xf>
    <xf numFmtId="0" fontId="20" fillId="20" borderId="0" xfId="0" applyFont="1" applyFill="1" applyBorder="1" applyAlignment="1">
      <alignment vertical="center"/>
    </xf>
    <xf numFmtId="0" fontId="3" fillId="0" borderId="0" xfId="0" applyFont="1" applyAlignment="1">
      <alignment vertical="center"/>
    </xf>
    <xf numFmtId="0" fontId="18" fillId="20" borderId="159" xfId="0" applyFont="1" applyFill="1" applyBorder="1" applyAlignment="1" applyProtection="1">
      <alignment horizontal="center" vertical="center"/>
    </xf>
    <xf numFmtId="0" fontId="18" fillId="20" borderId="96" xfId="0" applyFont="1" applyFill="1" applyBorder="1" applyAlignment="1" applyProtection="1">
      <alignment horizontal="left" vertical="center"/>
    </xf>
    <xf numFmtId="0" fontId="20" fillId="20" borderId="105" xfId="0" applyFont="1" applyFill="1" applyBorder="1" applyAlignment="1" applyProtection="1">
      <alignment horizontal="center" vertical="center"/>
    </xf>
    <xf numFmtId="0" fontId="22" fillId="0" borderId="0" xfId="9" applyFont="1"/>
    <xf numFmtId="0" fontId="22" fillId="20" borderId="161" xfId="0" applyFont="1" applyFill="1" applyBorder="1" applyAlignment="1" applyProtection="1">
      <alignment vertical="center"/>
    </xf>
    <xf numFmtId="0" fontId="22" fillId="20" borderId="10" xfId="0" applyFont="1" applyFill="1" applyBorder="1" applyAlignment="1" applyProtection="1">
      <alignment horizontal="center" vertical="center"/>
    </xf>
    <xf numFmtId="0" fontId="20" fillId="20" borderId="162" xfId="0" applyFont="1" applyFill="1" applyBorder="1" applyAlignment="1" applyProtection="1">
      <alignment horizontal="center" vertical="center"/>
    </xf>
    <xf numFmtId="0" fontId="20" fillId="20" borderId="64" xfId="0" applyFont="1" applyFill="1" applyBorder="1" applyAlignment="1" applyProtection="1">
      <alignment horizontal="center"/>
    </xf>
    <xf numFmtId="0" fontId="22" fillId="20" borderId="161" xfId="0" applyFont="1" applyFill="1" applyBorder="1" applyAlignment="1" applyProtection="1">
      <alignment horizontal="center" vertical="center"/>
    </xf>
    <xf numFmtId="0" fontId="16" fillId="20" borderId="56" xfId="0" applyFont="1" applyFill="1" applyBorder="1" applyAlignment="1" applyProtection="1">
      <alignment horizontal="centerContinuous" vertical="center"/>
    </xf>
    <xf numFmtId="0" fontId="16" fillId="20" borderId="45" xfId="0" applyFont="1" applyFill="1" applyBorder="1" applyAlignment="1" applyProtection="1">
      <alignment horizontal="centerContinuous" vertical="center"/>
    </xf>
    <xf numFmtId="0" fontId="16" fillId="20" borderId="18" xfId="0" applyFont="1" applyFill="1" applyBorder="1" applyAlignment="1" applyProtection="1">
      <alignment horizontal="centerContinuous" vertical="center"/>
    </xf>
    <xf numFmtId="0" fontId="20" fillId="20" borderId="161" xfId="0" applyFont="1" applyFill="1" applyBorder="1" applyAlignment="1" applyProtection="1">
      <alignment horizontal="center" vertical="center"/>
    </xf>
    <xf numFmtId="0" fontId="3" fillId="20" borderId="65" xfId="0" applyFont="1" applyFill="1" applyBorder="1" applyAlignment="1" applyProtection="1">
      <alignment vertical="center"/>
    </xf>
    <xf numFmtId="0" fontId="22" fillId="20" borderId="94" xfId="0" applyFont="1" applyFill="1" applyBorder="1" applyAlignment="1" applyProtection="1">
      <alignment vertical="center"/>
    </xf>
    <xf numFmtId="0" fontId="22" fillId="20" borderId="113" xfId="0" applyFont="1" applyFill="1" applyBorder="1" applyAlignment="1" applyProtection="1">
      <alignment horizontal="center" vertical="center"/>
    </xf>
    <xf numFmtId="9" fontId="22" fillId="20" borderId="166" xfId="0" applyNumberFormat="1" applyFont="1" applyFill="1" applyBorder="1" applyAlignment="1" applyProtection="1">
      <alignment horizontal="center" vertical="center"/>
    </xf>
    <xf numFmtId="9" fontId="22" fillId="20" borderId="81" xfId="0" applyNumberFormat="1" applyFont="1" applyFill="1" applyBorder="1" applyAlignment="1" applyProtection="1">
      <alignment horizontal="center" vertical="center"/>
    </xf>
    <xf numFmtId="9" fontId="22" fillId="20" borderId="80" xfId="0" applyNumberFormat="1" applyFont="1" applyFill="1" applyBorder="1" applyAlignment="1" applyProtection="1">
      <alignment horizontal="center" vertical="center"/>
    </xf>
    <xf numFmtId="0" fontId="22" fillId="20" borderId="165" xfId="0" applyFont="1" applyFill="1" applyBorder="1" applyAlignment="1" applyProtection="1">
      <alignment horizontal="center" vertical="center"/>
    </xf>
    <xf numFmtId="0" fontId="22" fillId="20" borderId="66" xfId="0" applyFont="1" applyFill="1" applyBorder="1" applyAlignment="1" applyProtection="1">
      <alignment horizontal="center"/>
    </xf>
    <xf numFmtId="168" fontId="3" fillId="0" borderId="63" xfId="0" applyNumberFormat="1" applyFont="1" applyBorder="1" applyAlignment="1" applyProtection="1">
      <alignment vertical="center"/>
    </xf>
    <xf numFmtId="0" fontId="84" fillId="0" borderId="0" xfId="0" applyFont="1"/>
    <xf numFmtId="0" fontId="3" fillId="0" borderId="0" xfId="0" applyFont="1" applyAlignment="1" applyProtection="1">
      <alignment vertical="center"/>
    </xf>
    <xf numFmtId="0" fontId="3" fillId="0" borderId="0" xfId="0" applyFont="1" applyAlignment="1" applyProtection="1">
      <alignment horizontal="center" vertical="center"/>
    </xf>
    <xf numFmtId="0" fontId="22" fillId="0" borderId="8" xfId="0" applyFont="1" applyFill="1" applyBorder="1" applyAlignment="1" applyProtection="1">
      <alignment vertical="center"/>
      <protection locked="0"/>
    </xf>
    <xf numFmtId="168" fontId="3" fillId="0" borderId="65" xfId="0" applyNumberFormat="1" applyFont="1" applyBorder="1" applyAlignment="1" applyProtection="1">
      <alignment vertical="center"/>
    </xf>
    <xf numFmtId="0" fontId="0" fillId="20" borderId="92" xfId="0" applyFill="1" applyBorder="1"/>
    <xf numFmtId="0" fontId="0" fillId="20" borderId="85" xfId="0" applyFill="1" applyBorder="1"/>
    <xf numFmtId="0" fontId="3" fillId="20" borderId="98" xfId="0" applyFont="1" applyFill="1" applyBorder="1" applyAlignment="1" applyProtection="1">
      <alignment horizontal="center" vertical="center"/>
    </xf>
    <xf numFmtId="0" fontId="0" fillId="20" borderId="123" xfId="0" applyFill="1" applyBorder="1"/>
    <xf numFmtId="0" fontId="18" fillId="20" borderId="123" xfId="0" applyFont="1" applyFill="1" applyBorder="1"/>
    <xf numFmtId="0" fontId="0" fillId="20" borderId="105" xfId="0" applyFill="1" applyBorder="1"/>
    <xf numFmtId="0" fontId="3" fillId="20" borderId="3" xfId="0" applyFont="1" applyFill="1" applyBorder="1" applyAlignment="1" applyProtection="1">
      <alignment horizontal="center" vertical="center"/>
    </xf>
    <xf numFmtId="0" fontId="3" fillId="20" borderId="32" xfId="0" applyFont="1" applyFill="1" applyBorder="1" applyAlignment="1" applyProtection="1">
      <alignment horizontal="centerContinuous" vertical="center"/>
    </xf>
    <xf numFmtId="0" fontId="20" fillId="20" borderId="3" xfId="0" applyFont="1" applyFill="1" applyBorder="1" applyAlignment="1" applyProtection="1">
      <alignment horizontal="left" vertical="center"/>
    </xf>
    <xf numFmtId="0" fontId="0" fillId="20" borderId="0" xfId="0" applyFill="1" applyBorder="1" applyAlignment="1" applyProtection="1">
      <alignment vertical="center"/>
    </xf>
    <xf numFmtId="0" fontId="0" fillId="20" borderId="0" xfId="0" applyFill="1" applyBorder="1"/>
    <xf numFmtId="9" fontId="20" fillId="20" borderId="18" xfId="0" applyNumberFormat="1" applyFont="1" applyFill="1" applyBorder="1" applyAlignment="1" applyProtection="1">
      <alignment horizontal="left" vertical="center"/>
    </xf>
    <xf numFmtId="0" fontId="20" fillId="20" borderId="0" xfId="0" applyFont="1" applyFill="1" applyBorder="1" applyAlignment="1" applyProtection="1">
      <alignment horizontal="left" vertical="center"/>
    </xf>
    <xf numFmtId="0" fontId="22" fillId="20" borderId="0" xfId="0" applyFont="1" applyFill="1" applyBorder="1" applyAlignment="1" applyProtection="1">
      <alignment horizontal="left" vertical="center"/>
    </xf>
    <xf numFmtId="0" fontId="22" fillId="20" borderId="64" xfId="0" applyFont="1" applyFill="1" applyBorder="1" applyAlignment="1" applyProtection="1">
      <alignment horizontal="left" vertical="center"/>
    </xf>
    <xf numFmtId="0" fontId="22" fillId="20" borderId="3" xfId="0" applyFont="1" applyFill="1" applyBorder="1" applyAlignment="1" applyProtection="1">
      <alignment horizontal="center" vertical="center"/>
    </xf>
    <xf numFmtId="0" fontId="22" fillId="20" borderId="32" xfId="0" applyFont="1" applyFill="1" applyBorder="1" applyAlignment="1" applyProtection="1">
      <alignment vertical="center"/>
    </xf>
    <xf numFmtId="0" fontId="22" fillId="20" borderId="3" xfId="0" applyFont="1" applyFill="1" applyBorder="1" applyAlignment="1" applyProtection="1">
      <alignment horizontal="left" vertical="center"/>
    </xf>
    <xf numFmtId="2" fontId="20" fillId="20" borderId="0" xfId="0" applyNumberFormat="1" applyFont="1" applyFill="1" applyBorder="1" applyAlignment="1" applyProtection="1">
      <alignment horizontal="right" vertical="center"/>
    </xf>
    <xf numFmtId="2" fontId="22" fillId="20" borderId="18" xfId="0" applyNumberFormat="1" applyFont="1" applyFill="1" applyBorder="1" applyAlignment="1" applyProtection="1">
      <alignment horizontal="left"/>
    </xf>
    <xf numFmtId="0" fontId="22" fillId="20" borderId="0" xfId="0" applyFont="1" applyFill="1" applyBorder="1" applyAlignment="1" applyProtection="1">
      <alignment horizontal="right" vertical="center"/>
    </xf>
    <xf numFmtId="2" fontId="3" fillId="20" borderId="64" xfId="0" applyNumberFormat="1" applyFont="1" applyFill="1" applyBorder="1" applyAlignment="1" applyProtection="1">
      <alignment horizontal="left" vertical="center"/>
    </xf>
    <xf numFmtId="0" fontId="22" fillId="20" borderId="63" xfId="0" applyFont="1" applyFill="1" applyBorder="1" applyAlignment="1" applyProtection="1">
      <alignment vertical="center"/>
    </xf>
    <xf numFmtId="0" fontId="22" fillId="20" borderId="32" xfId="0" applyFont="1" applyFill="1" applyBorder="1" applyAlignment="1" applyProtection="1">
      <alignment horizontal="center" wrapText="1"/>
    </xf>
    <xf numFmtId="0" fontId="3" fillId="20" borderId="0" xfId="0" applyFont="1" applyFill="1" applyBorder="1" applyAlignment="1" applyProtection="1">
      <alignment horizontal="centerContinuous" vertical="center"/>
    </xf>
    <xf numFmtId="0" fontId="22" fillId="20" borderId="0" xfId="0" applyFont="1" applyFill="1" applyBorder="1" applyAlignment="1" applyProtection="1">
      <alignment horizontal="center" vertical="center"/>
    </xf>
    <xf numFmtId="0" fontId="22" fillId="20" borderId="64" xfId="0" applyFont="1" applyFill="1" applyBorder="1" applyAlignment="1" applyProtection="1">
      <alignment horizontal="center" vertical="center"/>
    </xf>
    <xf numFmtId="0" fontId="22" fillId="20" borderId="72" xfId="0" applyFont="1" applyFill="1" applyBorder="1" applyAlignment="1" applyProtection="1">
      <alignment vertical="center"/>
    </xf>
    <xf numFmtId="0" fontId="22" fillId="20" borderId="4" xfId="0" applyFont="1" applyFill="1" applyBorder="1" applyAlignment="1" applyProtection="1">
      <alignment horizontal="left" vertical="center"/>
    </xf>
    <xf numFmtId="180" fontId="20" fillId="0" borderId="68" xfId="0" applyNumberFormat="1" applyFont="1" applyBorder="1" applyAlignment="1" applyProtection="1">
      <alignment vertical="center"/>
    </xf>
    <xf numFmtId="2" fontId="22" fillId="4" borderId="64" xfId="0" applyNumberFormat="1" applyFont="1" applyFill="1" applyBorder="1" applyAlignment="1" applyProtection="1">
      <alignment horizontal="center"/>
    </xf>
    <xf numFmtId="180" fontId="20" fillId="0" borderId="108" xfId="0" applyNumberFormat="1" applyFont="1" applyBorder="1" applyAlignment="1" applyProtection="1">
      <alignment vertical="center"/>
    </xf>
    <xf numFmtId="2" fontId="22" fillId="4" borderId="62" xfId="0" applyNumberFormat="1" applyFont="1" applyFill="1" applyBorder="1" applyAlignment="1" applyProtection="1">
      <alignment horizontal="center"/>
    </xf>
    <xf numFmtId="0" fontId="0" fillId="0" borderId="62" xfId="0" applyBorder="1" applyAlignment="1" applyProtection="1">
      <alignment vertical="center"/>
    </xf>
    <xf numFmtId="2" fontId="22" fillId="4" borderId="80" xfId="0" applyNumberFormat="1" applyFont="1" applyFill="1" applyBorder="1" applyAlignment="1" applyProtection="1">
      <alignment horizontal="center"/>
    </xf>
    <xf numFmtId="0" fontId="22" fillId="0" borderId="62" xfId="0" applyFont="1" applyBorder="1" applyAlignment="1" applyProtection="1">
      <alignment vertical="center"/>
    </xf>
    <xf numFmtId="2" fontId="22" fillId="4" borderId="66" xfId="0" applyNumberFormat="1" applyFont="1" applyFill="1" applyBorder="1" applyAlignment="1" applyProtection="1">
      <alignment horizontal="center"/>
    </xf>
    <xf numFmtId="0" fontId="24" fillId="0" borderId="0" xfId="0" applyFont="1" applyAlignment="1" applyProtection="1">
      <alignment horizontal="left" vertical="center"/>
    </xf>
    <xf numFmtId="2" fontId="20" fillId="0" borderId="52" xfId="0" applyNumberFormat="1" applyFont="1" applyBorder="1" applyAlignment="1" applyProtection="1">
      <alignment horizontal="center" vertical="center"/>
    </xf>
    <xf numFmtId="2" fontId="20" fillId="5" borderId="52" xfId="0" applyNumberFormat="1" applyFont="1" applyFill="1" applyBorder="1" applyAlignment="1" applyProtection="1">
      <alignment horizontal="center" vertical="center"/>
      <protection locked="0"/>
    </xf>
    <xf numFmtId="0" fontId="101" fillId="0" borderId="0" xfId="0" applyFont="1" applyBorder="1" applyAlignment="1">
      <alignment vertical="top"/>
    </xf>
    <xf numFmtId="0" fontId="23" fillId="0" borderId="0" xfId="0" applyFont="1" applyBorder="1" applyAlignment="1">
      <alignment horizontal="left" vertical="top"/>
    </xf>
    <xf numFmtId="0" fontId="18" fillId="4" borderId="0" xfId="0" applyFont="1" applyFill="1" applyBorder="1" applyAlignment="1" applyProtection="1">
      <alignment horizontal="right" vertical="top"/>
    </xf>
    <xf numFmtId="0" fontId="42" fillId="0" borderId="0" xfId="0" applyFont="1" applyBorder="1" applyAlignment="1">
      <alignment vertical="top"/>
    </xf>
    <xf numFmtId="0" fontId="3" fillId="3" borderId="63" xfId="0" applyFont="1" applyFill="1" applyBorder="1" applyAlignment="1" applyProtection="1">
      <alignment vertical="center"/>
      <protection locked="0"/>
    </xf>
    <xf numFmtId="170" fontId="3" fillId="3" borderId="18" xfId="0" applyNumberFormat="1" applyFont="1" applyFill="1" applyBorder="1" applyAlignment="1" applyProtection="1">
      <alignment horizontal="right" vertical="center"/>
      <protection locked="0"/>
    </xf>
    <xf numFmtId="170" fontId="3" fillId="4" borderId="18" xfId="0" applyNumberFormat="1" applyFont="1" applyFill="1" applyBorder="1" applyAlignment="1" applyProtection="1">
      <alignment horizontal="right" vertical="center"/>
    </xf>
    <xf numFmtId="190" fontId="3" fillId="5" borderId="18" xfId="0" applyNumberFormat="1" applyFont="1" applyFill="1" applyBorder="1" applyAlignment="1" applyProtection="1">
      <alignment horizontal="right" vertical="center"/>
      <protection locked="0"/>
    </xf>
    <xf numFmtId="9" fontId="3" fillId="5" borderId="18" xfId="0" applyNumberFormat="1" applyFont="1" applyFill="1" applyBorder="1" applyAlignment="1" applyProtection="1">
      <alignment horizontal="center" vertical="center"/>
      <protection locked="0"/>
    </xf>
    <xf numFmtId="170" fontId="3" fillId="3" borderId="14" xfId="0" applyNumberFormat="1" applyFont="1" applyFill="1" applyBorder="1" applyAlignment="1" applyProtection="1">
      <alignment horizontal="right" vertical="center"/>
      <protection locked="0"/>
    </xf>
    <xf numFmtId="170" fontId="3" fillId="4" borderId="14" xfId="0" applyNumberFormat="1" applyFont="1" applyFill="1" applyBorder="1" applyAlignment="1" applyProtection="1">
      <alignment horizontal="right" vertical="center"/>
    </xf>
    <xf numFmtId="190" fontId="3" fillId="5" borderId="14" xfId="0" applyNumberFormat="1" applyFont="1" applyFill="1" applyBorder="1" applyAlignment="1" applyProtection="1">
      <alignment horizontal="right" vertical="center"/>
      <protection locked="0"/>
    </xf>
    <xf numFmtId="9" fontId="3" fillId="5" borderId="14" xfId="0" applyNumberFormat="1" applyFont="1" applyFill="1" applyBorder="1" applyAlignment="1" applyProtection="1">
      <alignment horizontal="center" vertical="center"/>
      <protection locked="0"/>
    </xf>
    <xf numFmtId="190" fontId="3" fillId="0" borderId="8" xfId="0" applyNumberFormat="1" applyFont="1" applyFill="1" applyBorder="1" applyAlignment="1" applyProtection="1">
      <alignment horizontal="right" vertical="center"/>
      <protection locked="0"/>
    </xf>
    <xf numFmtId="190" fontId="53" fillId="0" borderId="8" xfId="0" applyNumberFormat="1" applyFont="1" applyFill="1" applyBorder="1" applyAlignment="1" applyProtection="1">
      <alignment horizontal="right" vertical="center"/>
      <protection locked="0"/>
    </xf>
    <xf numFmtId="177" fontId="3" fillId="4" borderId="18" xfId="0" applyNumberFormat="1" applyFont="1" applyFill="1" applyBorder="1" applyAlignment="1" applyProtection="1">
      <alignment horizontal="right" vertical="center"/>
    </xf>
    <xf numFmtId="170" fontId="3" fillId="3" borderId="18" xfId="0" applyNumberFormat="1" applyFont="1" applyFill="1" applyBorder="1" applyAlignment="1" applyProtection="1">
      <alignment horizontal="center" vertical="center"/>
      <protection locked="0"/>
    </xf>
    <xf numFmtId="177" fontId="3" fillId="0" borderId="32" xfId="0" applyNumberFormat="1" applyFont="1" applyBorder="1" applyAlignment="1" applyProtection="1">
      <alignment horizontal="right" vertical="center"/>
    </xf>
    <xf numFmtId="180" fontId="20" fillId="0" borderId="0" xfId="0" applyNumberFormat="1" applyFont="1" applyBorder="1" applyAlignment="1" applyProtection="1">
      <alignment vertical="center"/>
    </xf>
    <xf numFmtId="0" fontId="3" fillId="0" borderId="0" xfId="0" applyFont="1" applyBorder="1" applyAlignment="1" applyProtection="1">
      <alignment horizontal="right" vertical="center"/>
    </xf>
    <xf numFmtId="0" fontId="22" fillId="0" borderId="3" xfId="0" applyFont="1" applyFill="1" applyBorder="1" applyAlignment="1" applyProtection="1">
      <alignment vertical="center"/>
      <protection locked="0"/>
    </xf>
    <xf numFmtId="173" fontId="20" fillId="0" borderId="47" xfId="6" applyNumberFormat="1"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22" fillId="0" borderId="5" xfId="0" applyFont="1" applyBorder="1" applyAlignment="1" applyProtection="1">
      <alignment vertical="center"/>
      <protection locked="0"/>
    </xf>
    <xf numFmtId="0" fontId="0" fillId="0" borderId="13" xfId="0" applyBorder="1" applyProtection="1"/>
    <xf numFmtId="0" fontId="22" fillId="0" borderId="3" xfId="0" applyFont="1" applyBorder="1" applyAlignment="1" applyProtection="1">
      <alignment vertical="center"/>
      <protection locked="0"/>
    </xf>
    <xf numFmtId="0" fontId="0" fillId="0" borderId="10" xfId="0" applyBorder="1" applyProtection="1"/>
    <xf numFmtId="0" fontId="0" fillId="0" borderId="10" xfId="0" applyBorder="1" applyAlignment="1" applyProtection="1">
      <alignment horizontal="right"/>
    </xf>
    <xf numFmtId="0" fontId="22" fillId="0" borderId="4" xfId="0" applyFont="1" applyFill="1" applyBorder="1" applyAlignment="1" applyProtection="1">
      <alignment vertical="center"/>
      <protection locked="0"/>
    </xf>
    <xf numFmtId="185" fontId="29" fillId="0" borderId="0" xfId="0" applyNumberFormat="1" applyFont="1" applyFill="1" applyBorder="1" applyAlignment="1" applyProtection="1">
      <alignment horizontal="right" vertical="center"/>
    </xf>
    <xf numFmtId="185" fontId="29" fillId="0" borderId="18" xfId="0" applyNumberFormat="1" applyFont="1" applyFill="1" applyBorder="1" applyAlignment="1" applyProtection="1">
      <alignment horizontal="right" vertical="center"/>
    </xf>
    <xf numFmtId="185" fontId="29" fillId="0" borderId="19" xfId="0" applyNumberFormat="1" applyFont="1" applyFill="1" applyBorder="1" applyAlignment="1" applyProtection="1">
      <alignment horizontal="right" vertical="center"/>
    </xf>
    <xf numFmtId="185" fontId="33" fillId="0" borderId="21" xfId="6" applyNumberFormat="1" applyFont="1" applyFill="1" applyBorder="1" applyAlignment="1" applyProtection="1">
      <alignment vertical="center"/>
    </xf>
    <xf numFmtId="185" fontId="33" fillId="0" borderId="23" xfId="6" applyNumberFormat="1" applyFont="1" applyFill="1" applyBorder="1" applyAlignment="1" applyProtection="1">
      <alignment vertical="center"/>
    </xf>
    <xf numFmtId="185" fontId="33" fillId="0" borderId="42" xfId="6" applyNumberFormat="1" applyFont="1" applyFill="1" applyBorder="1" applyAlignment="1" applyProtection="1">
      <alignment vertical="center"/>
    </xf>
    <xf numFmtId="185" fontId="33" fillId="0" borderId="3" xfId="6" applyNumberFormat="1" applyFont="1" applyFill="1" applyBorder="1" applyAlignment="1" applyProtection="1">
      <alignment vertical="center"/>
    </xf>
    <xf numFmtId="185" fontId="33" fillId="0" borderId="18" xfId="6" applyNumberFormat="1" applyFont="1" applyFill="1" applyBorder="1" applyAlignment="1" applyProtection="1">
      <alignment vertical="center"/>
    </xf>
    <xf numFmtId="185" fontId="33" fillId="0" borderId="19" xfId="6" applyNumberFormat="1" applyFont="1" applyFill="1" applyBorder="1" applyAlignment="1" applyProtection="1">
      <alignment vertical="center"/>
    </xf>
    <xf numFmtId="187" fontId="33" fillId="0" borderId="3" xfId="6" applyNumberFormat="1" applyFont="1" applyFill="1" applyBorder="1" applyAlignment="1" applyProtection="1">
      <alignment vertical="center"/>
    </xf>
    <xf numFmtId="187" fontId="33" fillId="0" borderId="18" xfId="6" applyNumberFormat="1" applyFont="1" applyFill="1" applyBorder="1" applyAlignment="1" applyProtection="1">
      <alignment vertical="center"/>
    </xf>
    <xf numFmtId="187" fontId="33" fillId="0" borderId="19" xfId="6" applyNumberFormat="1" applyFont="1" applyFill="1" applyBorder="1" applyAlignment="1" applyProtection="1">
      <alignment vertical="center"/>
    </xf>
    <xf numFmtId="185" fontId="3" fillId="0" borderId="18" xfId="6" applyNumberFormat="1" applyFont="1" applyFill="1" applyBorder="1" applyAlignment="1" applyProtection="1">
      <alignment vertical="center"/>
    </xf>
    <xf numFmtId="9" fontId="0" fillId="26" borderId="3" xfId="0" applyNumberFormat="1" applyFill="1" applyBorder="1" applyAlignment="1">
      <alignment horizontal="right"/>
    </xf>
    <xf numFmtId="9" fontId="0" fillId="26" borderId="8" xfId="0" applyNumberFormat="1" applyFill="1" applyBorder="1" applyAlignment="1">
      <alignment horizontal="center"/>
    </xf>
    <xf numFmtId="0" fontId="15" fillId="0" borderId="5" xfId="0" applyFont="1" applyFill="1" applyBorder="1" applyAlignment="1">
      <alignment horizontal="center" vertical="center"/>
    </xf>
    <xf numFmtId="0" fontId="0" fillId="0" borderId="6" xfId="0" applyFill="1" applyBorder="1"/>
    <xf numFmtId="0" fontId="0" fillId="0" borderId="13" xfId="0" applyFill="1" applyBorder="1"/>
    <xf numFmtId="0" fontId="16" fillId="0" borderId="3" xfId="0" applyFont="1" applyFill="1" applyBorder="1"/>
    <xf numFmtId="0" fontId="0" fillId="0" borderId="3" xfId="0" applyFill="1" applyBorder="1"/>
    <xf numFmtId="0" fontId="15" fillId="0" borderId="3" xfId="0" applyFont="1" applyFill="1" applyBorder="1"/>
    <xf numFmtId="0" fontId="0" fillId="0" borderId="7" xfId="0" applyFill="1" applyBorder="1"/>
    <xf numFmtId="0" fontId="20" fillId="4" borderId="6" xfId="0" applyFont="1" applyFill="1" applyBorder="1" applyAlignment="1">
      <alignment horizontal="center" vertical="center"/>
    </xf>
    <xf numFmtId="9" fontId="0" fillId="0" borderId="5" xfId="0" applyNumberFormat="1" applyBorder="1" applyAlignment="1">
      <alignment horizontal="right"/>
    </xf>
    <xf numFmtId="0" fontId="16" fillId="0" borderId="4" xfId="0" applyFont="1" applyFill="1" applyBorder="1"/>
    <xf numFmtId="0" fontId="67" fillId="0" borderId="6" xfId="0" applyFont="1" applyBorder="1" applyAlignment="1" applyProtection="1">
      <alignment vertical="center"/>
    </xf>
    <xf numFmtId="0" fontId="67" fillId="0" borderId="0" xfId="0" applyFont="1" applyBorder="1" applyAlignment="1" applyProtection="1">
      <alignment vertical="center"/>
    </xf>
    <xf numFmtId="0" fontId="67" fillId="0" borderId="7" xfId="0" applyFont="1" applyBorder="1" applyAlignment="1" applyProtection="1">
      <alignment vertical="center"/>
    </xf>
    <xf numFmtId="170" fontId="29" fillId="14" borderId="7" xfId="0" applyNumberFormat="1" applyFont="1" applyFill="1" applyBorder="1" applyAlignment="1" applyProtection="1">
      <alignment horizontal="right" vertical="center"/>
    </xf>
    <xf numFmtId="170" fontId="29" fillId="14" borderId="14" xfId="0" applyNumberFormat="1" applyFont="1" applyFill="1" applyBorder="1" applyAlignment="1" applyProtection="1">
      <alignment horizontal="right" vertical="center"/>
    </xf>
    <xf numFmtId="170" fontId="29" fillId="14" borderId="15" xfId="0" applyNumberFormat="1" applyFont="1" applyFill="1" applyBorder="1" applyAlignment="1" applyProtection="1">
      <alignment horizontal="right" vertical="center"/>
    </xf>
    <xf numFmtId="0" fontId="67" fillId="20" borderId="52" xfId="0" applyFont="1" applyFill="1" applyBorder="1" applyAlignment="1">
      <alignment horizontal="center" vertical="center" wrapText="1"/>
    </xf>
    <xf numFmtId="0" fontId="67" fillId="20" borderId="31" xfId="0" applyFont="1" applyFill="1" applyBorder="1" applyAlignment="1">
      <alignment horizontal="center" vertical="center" wrapText="1"/>
    </xf>
    <xf numFmtId="174" fontId="15" fillId="7" borderId="53" xfId="0" applyNumberFormat="1" applyFont="1" applyFill="1" applyBorder="1" applyAlignment="1">
      <alignment horizontal="center" vertical="center" wrapText="1"/>
    </xf>
    <xf numFmtId="174" fontId="15" fillId="7" borderId="71" xfId="0" applyNumberFormat="1" applyFont="1" applyFill="1" applyBorder="1" applyAlignment="1">
      <alignment horizontal="center" vertical="center" wrapText="1"/>
    </xf>
    <xf numFmtId="0" fontId="29" fillId="23" borderId="25" xfId="8" applyFont="1" applyFill="1" applyBorder="1" applyAlignment="1" applyProtection="1">
      <alignment vertical="center"/>
    </xf>
    <xf numFmtId="0" fontId="29" fillId="23" borderId="26" xfId="8" applyFont="1" applyFill="1" applyBorder="1" applyAlignment="1" applyProtection="1">
      <alignment vertical="center"/>
    </xf>
    <xf numFmtId="0" fontId="0" fillId="23" borderId="26" xfId="0" applyFill="1" applyBorder="1" applyAlignment="1" applyProtection="1">
      <alignment vertical="center"/>
    </xf>
    <xf numFmtId="0" fontId="29" fillId="23" borderId="36" xfId="0" applyFont="1" applyFill="1" applyBorder="1" applyAlignment="1" applyProtection="1">
      <alignment vertical="center"/>
    </xf>
    <xf numFmtId="2" fontId="29" fillId="23" borderId="40" xfId="0" applyNumberFormat="1" applyFont="1" applyFill="1" applyBorder="1" applyAlignment="1" applyProtection="1">
      <alignment horizontal="right" vertical="center"/>
    </xf>
    <xf numFmtId="2" fontId="29" fillId="23" borderId="41" xfId="0" applyNumberFormat="1" applyFont="1" applyFill="1" applyBorder="1" applyAlignment="1" applyProtection="1">
      <alignment horizontal="right" vertical="center"/>
    </xf>
    <xf numFmtId="170" fontId="29" fillId="23" borderId="54" xfId="0" applyNumberFormat="1" applyFont="1" applyFill="1" applyBorder="1" applyAlignment="1" applyProtection="1">
      <alignment horizontal="right" vertical="center"/>
    </xf>
    <xf numFmtId="170" fontId="29" fillId="23" borderId="2" xfId="0" applyNumberFormat="1" applyFont="1" applyFill="1" applyBorder="1" applyAlignment="1" applyProtection="1">
      <alignment horizontal="right" vertical="center"/>
    </xf>
    <xf numFmtId="170" fontId="29" fillId="23" borderId="41" xfId="0" applyNumberFormat="1" applyFont="1" applyFill="1" applyBorder="1" applyAlignment="1" applyProtection="1">
      <alignment horizontal="right" vertical="center"/>
    </xf>
    <xf numFmtId="0" fontId="3" fillId="0" borderId="51" xfId="0" applyFont="1" applyBorder="1" applyAlignment="1" applyProtection="1">
      <alignment vertical="center"/>
    </xf>
    <xf numFmtId="179" fontId="3" fillId="4" borderId="27" xfId="0" applyNumberFormat="1" applyFont="1" applyFill="1" applyBorder="1" applyAlignment="1">
      <alignment horizontal="center" vertical="center"/>
    </xf>
    <xf numFmtId="179" fontId="3" fillId="4" borderId="43" xfId="0" applyNumberFormat="1" applyFont="1" applyFill="1" applyBorder="1" applyAlignment="1">
      <alignment horizontal="center" vertical="center"/>
    </xf>
    <xf numFmtId="179" fontId="3" fillId="2" borderId="27" xfId="0" applyNumberFormat="1" applyFont="1" applyFill="1" applyBorder="1" applyAlignment="1">
      <alignment horizontal="center" vertical="center"/>
    </xf>
    <xf numFmtId="179" fontId="3" fillId="2" borderId="43" xfId="0" applyNumberFormat="1" applyFont="1" applyFill="1" applyBorder="1" applyAlignment="1">
      <alignment horizontal="center" vertical="center"/>
    </xf>
    <xf numFmtId="0" fontId="3" fillId="0" borderId="23" xfId="8" applyFont="1" applyBorder="1" applyAlignment="1">
      <alignment horizontal="center" vertical="center"/>
    </xf>
    <xf numFmtId="0" fontId="3" fillId="0" borderId="44" xfId="0" applyFont="1" applyBorder="1" applyAlignment="1">
      <alignment horizontal="centerContinuous" vertical="center"/>
    </xf>
    <xf numFmtId="170" fontId="3" fillId="4" borderId="39" xfId="6" applyNumberFormat="1" applyFont="1" applyFill="1" applyBorder="1" applyAlignment="1">
      <alignment horizontal="center" vertical="center"/>
    </xf>
    <xf numFmtId="170" fontId="3" fillId="2" borderId="39" xfId="6" applyNumberFormat="1" applyFont="1" applyFill="1" applyBorder="1" applyAlignment="1">
      <alignment horizontal="center" vertical="center"/>
    </xf>
    <xf numFmtId="173" fontId="47" fillId="3" borderId="14" xfId="6" applyNumberFormat="1" applyFont="1" applyFill="1" applyBorder="1" applyAlignment="1" applyProtection="1">
      <alignment horizontal="center" vertical="center"/>
    </xf>
    <xf numFmtId="173" fontId="47" fillId="3" borderId="15" xfId="6" applyNumberFormat="1" applyFont="1" applyFill="1" applyBorder="1" applyAlignment="1" applyProtection="1">
      <alignment horizontal="center" vertical="center"/>
    </xf>
    <xf numFmtId="172" fontId="16" fillId="0" borderId="4" xfId="0" applyNumberFormat="1" applyFont="1" applyFill="1" applyBorder="1"/>
    <xf numFmtId="0" fontId="16" fillId="0" borderId="0" xfId="0" applyFont="1" applyFill="1"/>
    <xf numFmtId="0" fontId="0" fillId="0" borderId="0" xfId="0" applyFill="1" applyAlignment="1">
      <alignment vertical="center"/>
    </xf>
    <xf numFmtId="0" fontId="3" fillId="12" borderId="146" xfId="0" applyFont="1" applyFill="1" applyBorder="1" applyAlignment="1">
      <alignment vertical="center"/>
    </xf>
    <xf numFmtId="0" fontId="31" fillId="12" borderId="146" xfId="0" applyFont="1" applyFill="1" applyBorder="1" applyAlignment="1">
      <alignment horizontal="right" vertical="center"/>
    </xf>
    <xf numFmtId="179" fontId="3" fillId="12" borderId="146" xfId="0" applyNumberFormat="1" applyFont="1" applyFill="1" applyBorder="1" applyAlignment="1" applyProtection="1">
      <alignment vertical="center"/>
    </xf>
    <xf numFmtId="0" fontId="0" fillId="12" borderId="146" xfId="0" applyFill="1" applyBorder="1"/>
    <xf numFmtId="179" fontId="3" fillId="12" borderId="147" xfId="0" applyNumberFormat="1" applyFont="1" applyFill="1" applyBorder="1" applyAlignment="1">
      <alignment vertical="center"/>
    </xf>
    <xf numFmtId="0" fontId="3" fillId="0" borderId="0" xfId="0" applyFont="1" applyBorder="1" applyAlignment="1">
      <alignment vertical="center"/>
    </xf>
    <xf numFmtId="0" fontId="3" fillId="12" borderId="0" xfId="0" applyFont="1" applyFill="1" applyBorder="1" applyAlignment="1">
      <alignment vertical="center"/>
    </xf>
    <xf numFmtId="0" fontId="31" fillId="12" borderId="0" xfId="0" applyFont="1" applyFill="1" applyBorder="1" applyAlignment="1">
      <alignment horizontal="right" vertical="center"/>
    </xf>
    <xf numFmtId="179" fontId="3" fillId="12" borderId="0" xfId="0" applyNumberFormat="1" applyFont="1" applyFill="1" applyBorder="1" applyAlignment="1" applyProtection="1">
      <alignment vertical="center"/>
    </xf>
    <xf numFmtId="0" fontId="0" fillId="12" borderId="0" xfId="0" applyFill="1" applyBorder="1"/>
    <xf numFmtId="179" fontId="3" fillId="12" borderId="149" xfId="0" applyNumberFormat="1" applyFont="1" applyFill="1" applyBorder="1" applyAlignment="1">
      <alignment vertical="center"/>
    </xf>
    <xf numFmtId="179" fontId="3" fillId="0" borderId="0" xfId="0" applyNumberFormat="1" applyFont="1" applyFill="1" applyBorder="1" applyAlignment="1">
      <alignment vertical="center"/>
    </xf>
    <xf numFmtId="0" fontId="28" fillId="12" borderId="0" xfId="0" applyFont="1" applyFill="1" applyBorder="1"/>
    <xf numFmtId="0" fontId="102" fillId="12" borderId="0" xfId="0" applyFont="1" applyFill="1" applyBorder="1"/>
    <xf numFmtId="0" fontId="30" fillId="12" borderId="0" xfId="0" applyFont="1" applyFill="1" applyBorder="1" applyAlignment="1">
      <alignment vertical="center"/>
    </xf>
    <xf numFmtId="0" fontId="121" fillId="0" borderId="0" xfId="0" applyFont="1"/>
    <xf numFmtId="0" fontId="122" fillId="0" borderId="0" xfId="0" applyFont="1"/>
    <xf numFmtId="0" fontId="121" fillId="0" borderId="0" xfId="0" applyFont="1" applyBorder="1"/>
    <xf numFmtId="0" fontId="22" fillId="0" borderId="0" xfId="11" applyFont="1" applyBorder="1" applyAlignment="1">
      <alignment vertical="center"/>
    </xf>
    <xf numFmtId="0" fontId="22" fillId="0" borderId="3" xfId="11" applyFont="1" applyBorder="1" applyAlignment="1">
      <alignment vertical="center"/>
    </xf>
    <xf numFmtId="0" fontId="22" fillId="0" borderId="0" xfId="11" applyFont="1" applyBorder="1"/>
    <xf numFmtId="0" fontId="22" fillId="4" borderId="0" xfId="11" applyFont="1" applyFill="1" applyBorder="1"/>
    <xf numFmtId="0" fontId="22" fillId="0" borderId="0" xfId="11" applyFont="1" applyBorder="1" applyAlignment="1">
      <alignment horizontal="right" vertical="center"/>
    </xf>
    <xf numFmtId="0" fontId="22" fillId="0" borderId="3" xfId="11" applyFont="1" applyFill="1" applyBorder="1" applyAlignment="1">
      <alignment vertical="center"/>
    </xf>
    <xf numFmtId="0" fontId="22" fillId="3" borderId="6" xfId="11" applyFont="1" applyFill="1" applyBorder="1" applyAlignment="1" applyProtection="1">
      <alignment vertical="center"/>
      <protection locked="0"/>
    </xf>
    <xf numFmtId="0" fontId="22" fillId="3" borderId="13" xfId="11" applyFont="1" applyFill="1" applyBorder="1" applyAlignment="1" applyProtection="1">
      <alignment vertical="center"/>
      <protection locked="0"/>
    </xf>
    <xf numFmtId="0" fontId="22" fillId="3" borderId="0" xfId="11" applyFont="1" applyFill="1" applyBorder="1" applyAlignment="1" applyProtection="1">
      <alignment vertical="center"/>
      <protection locked="0"/>
    </xf>
    <xf numFmtId="0" fontId="22" fillId="3" borderId="10" xfId="11" applyFont="1" applyFill="1" applyBorder="1" applyAlignment="1" applyProtection="1">
      <alignment vertical="center"/>
      <protection locked="0"/>
    </xf>
    <xf numFmtId="0" fontId="22" fillId="3" borderId="5" xfId="11" applyFont="1" applyFill="1" applyBorder="1" applyAlignment="1" applyProtection="1">
      <alignment vertical="center"/>
      <protection locked="0"/>
    </xf>
    <xf numFmtId="3" fontId="133" fillId="0" borderId="6" xfId="11" applyNumberFormat="1" applyFont="1" applyFill="1" applyBorder="1" applyAlignment="1" applyProtection="1">
      <alignment vertical="center"/>
      <protection locked="0"/>
    </xf>
    <xf numFmtId="3" fontId="22" fillId="3" borderId="16" xfId="11" applyNumberFormat="1" applyFont="1" applyFill="1" applyBorder="1" applyAlignment="1" applyProtection="1">
      <alignment horizontal="right" vertical="center"/>
      <protection locked="0"/>
    </xf>
    <xf numFmtId="0" fontId="22" fillId="3" borderId="3" xfId="11" applyFont="1" applyFill="1" applyBorder="1" applyAlignment="1" applyProtection="1">
      <alignment vertical="center"/>
      <protection locked="0"/>
    </xf>
    <xf numFmtId="3" fontId="133" fillId="0" borderId="0" xfId="11" applyNumberFormat="1" applyFont="1" applyFill="1" applyBorder="1" applyAlignment="1" applyProtection="1">
      <alignment vertical="center"/>
      <protection locked="0"/>
    </xf>
    <xf numFmtId="3" fontId="22" fillId="3" borderId="18" xfId="11" applyNumberFormat="1" applyFont="1" applyFill="1" applyBorder="1" applyAlignment="1" applyProtection="1">
      <alignment horizontal="right" vertical="center"/>
      <protection locked="0"/>
    </xf>
    <xf numFmtId="3" fontId="22" fillId="0" borderId="0" xfId="11" applyNumberFormat="1" applyFont="1" applyFill="1" applyBorder="1" applyAlignment="1" applyProtection="1">
      <alignment vertical="center"/>
      <protection locked="0"/>
    </xf>
    <xf numFmtId="3" fontId="22" fillId="3" borderId="18" xfId="11" applyNumberFormat="1" applyFont="1" applyFill="1" applyBorder="1" applyAlignment="1" applyProtection="1">
      <alignment vertical="center"/>
      <protection locked="0"/>
    </xf>
    <xf numFmtId="0" fontId="3" fillId="0" borderId="0" xfId="8" applyFont="1" applyFill="1" applyBorder="1" applyAlignment="1" applyProtection="1">
      <alignment horizontal="right" vertical="center"/>
    </xf>
    <xf numFmtId="0" fontId="3" fillId="0" borderId="0" xfId="8" applyFont="1" applyBorder="1" applyAlignment="1">
      <alignment vertical="center"/>
    </xf>
    <xf numFmtId="0" fontId="3" fillId="0" borderId="0" xfId="0" applyFont="1" applyBorder="1" applyAlignment="1">
      <alignment horizontal="left" vertical="top"/>
    </xf>
    <xf numFmtId="0" fontId="3" fillId="0" borderId="0" xfId="0" applyFont="1" applyBorder="1" applyAlignment="1">
      <alignment horizontal="left" vertical="center"/>
    </xf>
    <xf numFmtId="0" fontId="3" fillId="3" borderId="22" xfId="0" applyFont="1" applyFill="1" applyBorder="1" applyAlignment="1" applyProtection="1">
      <alignment vertical="center"/>
      <protection locked="0"/>
    </xf>
    <xf numFmtId="0" fontId="22" fillId="19" borderId="30" xfId="0" applyFont="1" applyFill="1" applyBorder="1" applyAlignment="1" applyProtection="1">
      <alignment horizontal="right" vertical="center"/>
    </xf>
    <xf numFmtId="0" fontId="20" fillId="19" borderId="11" xfId="0" applyFont="1" applyFill="1" applyBorder="1" applyAlignment="1">
      <alignment horizontal="left" vertical="center"/>
    </xf>
    <xf numFmtId="0" fontId="3" fillId="0" borderId="6" xfId="0" applyFont="1" applyBorder="1" applyAlignment="1">
      <alignment vertical="center"/>
    </xf>
    <xf numFmtId="0" fontId="3" fillId="3" borderId="6" xfId="0" applyFont="1" applyFill="1" applyBorder="1" applyAlignment="1" applyProtection="1">
      <alignment vertical="center"/>
      <protection locked="0"/>
    </xf>
    <xf numFmtId="6" fontId="3" fillId="0" borderId="47" xfId="0" applyNumberFormat="1" applyFont="1" applyBorder="1" applyAlignment="1">
      <alignment vertical="center"/>
    </xf>
    <xf numFmtId="3" fontId="29" fillId="0" borderId="167" xfId="0" applyNumberFormat="1" applyFont="1" applyBorder="1" applyAlignment="1">
      <alignment vertical="center"/>
    </xf>
    <xf numFmtId="176" fontId="22" fillId="0" borderId="0" xfId="0" applyNumberFormat="1" applyFont="1" applyFill="1" applyBorder="1" applyAlignment="1" applyProtection="1">
      <alignment vertical="center"/>
    </xf>
    <xf numFmtId="176" fontId="22" fillId="0" borderId="5" xfId="0" applyNumberFormat="1" applyFont="1" applyFill="1" applyBorder="1" applyAlignment="1" applyProtection="1">
      <alignment vertical="center"/>
    </xf>
    <xf numFmtId="0" fontId="16" fillId="0" borderId="4" xfId="0" applyFont="1" applyBorder="1" applyAlignment="1">
      <alignment horizontal="left" vertical="center"/>
    </xf>
    <xf numFmtId="176" fontId="22" fillId="0" borderId="7" xfId="0" applyNumberFormat="1" applyFont="1" applyFill="1" applyBorder="1" applyAlignment="1" applyProtection="1">
      <alignment vertical="center"/>
    </xf>
    <xf numFmtId="176" fontId="22" fillId="0" borderId="4" xfId="0" applyNumberFormat="1" applyFont="1" applyFill="1" applyBorder="1" applyAlignment="1" applyProtection="1">
      <alignment vertical="center"/>
    </xf>
    <xf numFmtId="6" fontId="20" fillId="0" borderId="158" xfId="0" applyNumberFormat="1" applyFont="1" applyBorder="1" applyAlignment="1">
      <alignment horizontal="center"/>
    </xf>
    <xf numFmtId="49" fontId="22" fillId="0" borderId="0" xfId="0" applyNumberFormat="1" applyFont="1" applyBorder="1" applyAlignment="1">
      <alignment horizontal="center"/>
    </xf>
    <xf numFmtId="185" fontId="29" fillId="3" borderId="1" xfId="0" applyNumberFormat="1" applyFont="1" applyFill="1" applyBorder="1" applyAlignment="1" applyProtection="1">
      <alignment horizontal="right" vertical="center"/>
      <protection locked="0"/>
    </xf>
    <xf numFmtId="0" fontId="20" fillId="0" borderId="0" xfId="0" applyFont="1" applyBorder="1" applyAlignment="1">
      <alignment horizontal="right" vertical="center"/>
    </xf>
    <xf numFmtId="0" fontId="109" fillId="0" borderId="110" xfId="11" applyFont="1" applyBorder="1" applyAlignment="1">
      <alignment vertical="center"/>
    </xf>
    <xf numFmtId="0" fontId="109" fillId="0" borderId="85" xfId="0" applyFont="1" applyBorder="1" applyAlignment="1">
      <alignment vertical="center"/>
    </xf>
    <xf numFmtId="0" fontId="22" fillId="0" borderId="86" xfId="0" applyFont="1" applyBorder="1" applyAlignment="1">
      <alignment vertical="center"/>
    </xf>
    <xf numFmtId="0" fontId="22" fillId="0" borderId="63" xfId="11" applyFont="1" applyBorder="1" applyAlignment="1">
      <alignment vertical="center"/>
    </xf>
    <xf numFmtId="0" fontId="22" fillId="0" borderId="64" xfId="0" applyFont="1" applyBorder="1"/>
    <xf numFmtId="0" fontId="22" fillId="0" borderId="64" xfId="11" applyFont="1" applyFill="1" applyBorder="1" applyAlignment="1">
      <alignment horizontal="right"/>
    </xf>
    <xf numFmtId="0" fontId="22" fillId="0" borderId="63" xfId="11" applyFont="1" applyBorder="1"/>
    <xf numFmtId="0" fontId="22" fillId="0" borderId="64" xfId="0" applyFont="1" applyBorder="1" applyAlignment="1">
      <alignment vertical="center"/>
    </xf>
    <xf numFmtId="0" fontId="22" fillId="0" borderId="65" xfId="11" applyFont="1" applyBorder="1" applyAlignment="1">
      <alignment vertical="center"/>
    </xf>
    <xf numFmtId="0" fontId="22" fillId="4" borderId="62" xfId="11" applyFont="1" applyFill="1" applyBorder="1"/>
    <xf numFmtId="0" fontId="22" fillId="0" borderId="62" xfId="11" applyFont="1" applyBorder="1"/>
    <xf numFmtId="0" fontId="22" fillId="0" borderId="62" xfId="11" applyFont="1" applyBorder="1" applyAlignment="1">
      <alignment horizontal="right"/>
    </xf>
    <xf numFmtId="0" fontId="22" fillId="0" borderId="100" xfId="11" applyFont="1" applyBorder="1" applyAlignment="1">
      <alignment vertical="center"/>
    </xf>
    <xf numFmtId="0" fontId="22" fillId="0" borderId="66" xfId="0" applyFont="1" applyBorder="1" applyAlignment="1">
      <alignment vertical="center"/>
    </xf>
    <xf numFmtId="0" fontId="16" fillId="0" borderId="0" xfId="0" applyFont="1" applyBorder="1" applyAlignment="1">
      <alignment vertical="top" wrapText="1"/>
    </xf>
    <xf numFmtId="0" fontId="16" fillId="0" borderId="7" xfId="0" applyFont="1" applyBorder="1" applyAlignment="1">
      <alignment vertical="top" wrapText="1"/>
    </xf>
    <xf numFmtId="0" fontId="22" fillId="0" borderId="10" xfId="0" applyFont="1" applyBorder="1" applyAlignment="1" applyProtection="1">
      <alignment horizontal="right" vertical="center"/>
    </xf>
    <xf numFmtId="0" fontId="22" fillId="0" borderId="10" xfId="0" quotePrefix="1" applyFont="1" applyBorder="1" applyAlignment="1" applyProtection="1">
      <alignment vertical="center"/>
    </xf>
    <xf numFmtId="0" fontId="0" fillId="0" borderId="11" xfId="0" applyBorder="1"/>
    <xf numFmtId="4" fontId="22" fillId="3" borderId="168" xfId="0" applyNumberFormat="1" applyFont="1" applyFill="1" applyBorder="1" applyAlignment="1" applyProtection="1">
      <alignment horizontal="right" vertical="center"/>
      <protection locked="0"/>
    </xf>
    <xf numFmtId="180" fontId="22" fillId="3" borderId="82" xfId="0" applyNumberFormat="1" applyFont="1" applyFill="1" applyBorder="1" applyAlignment="1" applyProtection="1">
      <alignment vertical="center"/>
      <protection locked="0"/>
    </xf>
    <xf numFmtId="0" fontId="22" fillId="3" borderId="94" xfId="0" applyFont="1" applyFill="1" applyBorder="1" applyAlignment="1" applyProtection="1">
      <alignment vertical="center"/>
      <protection locked="0"/>
    </xf>
    <xf numFmtId="0" fontId="19" fillId="0" borderId="0" xfId="8" applyFont="1" applyBorder="1" applyAlignment="1" applyProtection="1">
      <alignment vertical="center"/>
    </xf>
    <xf numFmtId="0" fontId="22" fillId="0" borderId="6" xfId="8" applyFont="1" applyBorder="1" applyAlignment="1" applyProtection="1">
      <alignment vertical="center"/>
    </xf>
    <xf numFmtId="0" fontId="22" fillId="0" borderId="0" xfId="8" applyFont="1" applyBorder="1" applyAlignment="1">
      <alignment vertical="center"/>
    </xf>
    <xf numFmtId="0" fontId="22" fillId="0" borderId="0" xfId="8" applyFont="1" applyBorder="1" applyAlignment="1" applyProtection="1">
      <alignment vertical="center"/>
    </xf>
    <xf numFmtId="0" fontId="67" fillId="0" borderId="0" xfId="9" applyFont="1" applyBorder="1" applyAlignment="1" applyProtection="1">
      <alignment vertical="center"/>
    </xf>
    <xf numFmtId="0" fontId="24" fillId="0" borderId="0" xfId="8" applyFont="1" applyBorder="1" applyAlignment="1" applyProtection="1">
      <alignment vertical="center"/>
    </xf>
    <xf numFmtId="0" fontId="19" fillId="0" borderId="85" xfId="8" applyFont="1" applyBorder="1" applyAlignment="1" applyProtection="1">
      <alignment vertical="center"/>
    </xf>
    <xf numFmtId="0" fontId="22" fillId="0" borderId="0" xfId="9" applyFont="1"/>
    <xf numFmtId="0" fontId="22" fillId="0" borderId="7" xfId="8" applyFont="1" applyBorder="1" applyAlignment="1" applyProtection="1">
      <alignment vertical="center"/>
    </xf>
    <xf numFmtId="0" fontId="19" fillId="0" borderId="7" xfId="8" applyFont="1" applyFill="1" applyBorder="1" applyAlignment="1" applyProtection="1">
      <alignment vertical="center"/>
    </xf>
    <xf numFmtId="0" fontId="19" fillId="0" borderId="62" xfId="8" applyFont="1" applyFill="1" applyBorder="1" applyAlignment="1" applyProtection="1">
      <alignment vertical="center"/>
    </xf>
    <xf numFmtId="0" fontId="135" fillId="0" borderId="0" xfId="9" applyFont="1" applyBorder="1" applyAlignment="1" applyProtection="1">
      <alignment vertical="center"/>
    </xf>
    <xf numFmtId="0" fontId="135" fillId="0" borderId="63" xfId="9" applyFont="1" applyBorder="1" applyAlignment="1" applyProtection="1">
      <alignment vertical="center"/>
    </xf>
    <xf numFmtId="0" fontId="67" fillId="0" borderId="63" xfId="9" applyFont="1" applyBorder="1" applyAlignment="1" applyProtection="1">
      <alignment vertical="center"/>
    </xf>
    <xf numFmtId="0" fontId="67" fillId="0" borderId="3" xfId="9" applyFont="1" applyBorder="1" applyAlignment="1" applyProtection="1">
      <alignment vertical="center"/>
    </xf>
    <xf numFmtId="0" fontId="67" fillId="0" borderId="68" xfId="9" applyFont="1" applyBorder="1" applyAlignment="1" applyProtection="1">
      <alignment vertical="center"/>
    </xf>
    <xf numFmtId="0" fontId="20" fillId="0" borderId="0" xfId="0" applyFont="1" applyBorder="1" applyAlignment="1">
      <alignment horizontal="right" vertical="center"/>
    </xf>
    <xf numFmtId="0" fontId="0" fillId="18" borderId="0" xfId="0" applyFill="1"/>
    <xf numFmtId="0" fontId="20" fillId="0" borderId="0" xfId="0" applyFont="1" applyBorder="1" applyAlignment="1">
      <alignment horizontal="right" vertical="center"/>
    </xf>
    <xf numFmtId="0" fontId="0" fillId="0" borderId="0" xfId="0" applyBorder="1" applyAlignment="1">
      <alignment horizontal="center" textRotation="90"/>
    </xf>
    <xf numFmtId="0" fontId="0" fillId="0" borderId="3" xfId="0" applyBorder="1" applyAlignment="1">
      <alignment horizontal="center" vertical="center" textRotation="90"/>
    </xf>
    <xf numFmtId="0" fontId="2" fillId="0" borderId="26" xfId="0" applyFont="1" applyFill="1" applyBorder="1" applyAlignment="1" applyProtection="1">
      <alignment vertical="center"/>
      <protection locked="0"/>
    </xf>
    <xf numFmtId="0" fontId="16" fillId="0" borderId="0" xfId="0" applyFont="1" applyFill="1" applyBorder="1" applyAlignment="1">
      <alignment horizontal="center"/>
    </xf>
    <xf numFmtId="0" fontId="2" fillId="23" borderId="26" xfId="8" applyFont="1" applyFill="1" applyBorder="1" applyAlignment="1" applyProtection="1">
      <alignment vertical="center"/>
    </xf>
    <xf numFmtId="2" fontId="2" fillId="23" borderId="40" xfId="0" applyNumberFormat="1" applyFont="1" applyFill="1" applyBorder="1" applyAlignment="1" applyProtection="1">
      <alignment horizontal="right" vertical="center"/>
    </xf>
    <xf numFmtId="0" fontId="28" fillId="0" borderId="0" xfId="0" applyFont="1" applyFill="1" applyBorder="1" applyAlignment="1">
      <alignment horizontal="left" vertical="center"/>
    </xf>
    <xf numFmtId="0" fontId="27" fillId="0" borderId="7" xfId="8" applyFont="1" applyBorder="1" applyAlignment="1">
      <alignment vertical="center"/>
    </xf>
    <xf numFmtId="0" fontId="29" fillId="5" borderId="0" xfId="0" applyFont="1" applyFill="1" applyBorder="1" applyAlignment="1" applyProtection="1">
      <alignment horizontal="right" vertical="center"/>
      <protection locked="0"/>
    </xf>
    <xf numFmtId="0" fontId="29" fillId="5" borderId="7" xfId="0" applyFont="1" applyFill="1" applyBorder="1" applyAlignment="1" applyProtection="1">
      <alignment horizontal="right" vertical="center"/>
      <protection locked="0"/>
    </xf>
    <xf numFmtId="0" fontId="0" fillId="0" borderId="3" xfId="0" applyFill="1" applyBorder="1" applyAlignment="1">
      <alignment vertical="center"/>
    </xf>
    <xf numFmtId="0" fontId="0" fillId="0" borderId="10" xfId="0" applyFill="1" applyBorder="1" applyAlignment="1">
      <alignment vertical="center"/>
    </xf>
    <xf numFmtId="0" fontId="29" fillId="0" borderId="3" xfId="0" applyFont="1" applyFill="1" applyBorder="1" applyAlignment="1">
      <alignment horizontal="right" vertical="center"/>
    </xf>
    <xf numFmtId="0" fontId="29" fillId="0" borderId="10" xfId="0" applyFont="1" applyFill="1" applyBorder="1" applyAlignment="1" applyProtection="1">
      <alignment horizontal="right" vertical="center"/>
      <protection locked="0"/>
    </xf>
    <xf numFmtId="0" fontId="2" fillId="5" borderId="0" xfId="0" applyFont="1" applyFill="1" applyBorder="1" applyAlignment="1" applyProtection="1">
      <alignment horizontal="left" vertical="center"/>
      <protection locked="0"/>
    </xf>
    <xf numFmtId="0" fontId="2" fillId="3" borderId="6" xfId="8" applyFont="1" applyFill="1" applyBorder="1" applyAlignment="1" applyProtection="1">
      <alignment vertical="center"/>
      <protection locked="0"/>
    </xf>
    <xf numFmtId="0" fontId="2" fillId="3" borderId="0" xfId="8" applyFont="1" applyFill="1" applyBorder="1" applyAlignment="1" applyProtection="1">
      <alignment vertical="center"/>
      <protection locked="0"/>
    </xf>
    <xf numFmtId="190" fontId="29" fillId="3" borderId="76" xfId="0" applyNumberFormat="1" applyFont="1" applyFill="1" applyBorder="1" applyAlignment="1" applyProtection="1">
      <alignment horizontal="right" vertical="center"/>
      <protection locked="0"/>
    </xf>
    <xf numFmtId="190" fontId="29" fillId="3" borderId="32" xfId="0" applyNumberFormat="1" applyFont="1" applyFill="1" applyBorder="1" applyAlignment="1" applyProtection="1">
      <alignment horizontal="right" vertical="center"/>
      <protection locked="0"/>
    </xf>
    <xf numFmtId="195" fontId="29" fillId="4" borderId="58" xfId="0" applyNumberFormat="1" applyFont="1" applyFill="1" applyBorder="1" applyAlignment="1" applyProtection="1">
      <alignment horizontal="right" vertical="center"/>
    </xf>
    <xf numFmtId="195" fontId="29" fillId="4" borderId="45" xfId="0" applyNumberFormat="1" applyFont="1" applyFill="1" applyBorder="1" applyAlignment="1" applyProtection="1">
      <alignment horizontal="right" vertical="center"/>
    </xf>
    <xf numFmtId="3" fontId="19" fillId="0" borderId="4" xfId="0" applyNumberFormat="1" applyFont="1" applyBorder="1" applyAlignment="1">
      <alignment horizontal="center" vertical="center"/>
    </xf>
    <xf numFmtId="2" fontId="18" fillId="0" borderId="72" xfId="0" applyNumberFormat="1" applyFont="1" applyBorder="1" applyAlignment="1">
      <alignment horizontal="center" vertical="center"/>
    </xf>
    <xf numFmtId="1" fontId="19" fillId="0" borderId="5" xfId="0" applyNumberFormat="1" applyFont="1" applyBorder="1" applyAlignment="1">
      <alignment horizontal="center" vertical="center"/>
    </xf>
    <xf numFmtId="1" fontId="19" fillId="0" borderId="6" xfId="0" applyNumberFormat="1" applyFont="1" applyBorder="1" applyAlignment="1">
      <alignment horizontal="center" vertical="center"/>
    </xf>
    <xf numFmtId="1" fontId="50" fillId="0" borderId="3" xfId="0" applyNumberFormat="1" applyFont="1" applyBorder="1" applyAlignment="1">
      <alignment horizontal="center" vertical="center"/>
    </xf>
    <xf numFmtId="1" fontId="19" fillId="0" borderId="3" xfId="0" applyNumberFormat="1" applyFont="1" applyBorder="1" applyAlignment="1">
      <alignment horizontal="center" vertical="center"/>
    </xf>
    <xf numFmtId="3" fontId="19" fillId="0" borderId="3" xfId="0" applyNumberFormat="1" applyFont="1" applyBorder="1" applyAlignment="1">
      <alignment horizontal="center" vertical="center"/>
    </xf>
    <xf numFmtId="3" fontId="50" fillId="0" borderId="100" xfId="0" applyNumberFormat="1" applyFont="1" applyBorder="1" applyAlignment="1">
      <alignment horizontal="center" vertical="center"/>
    </xf>
    <xf numFmtId="1" fontId="19" fillId="0" borderId="3" xfId="0" applyNumberFormat="1" applyFont="1" applyFill="1" applyBorder="1" applyAlignment="1">
      <alignment horizontal="center" vertical="center"/>
    </xf>
    <xf numFmtId="1" fontId="50" fillId="0" borderId="110" xfId="0" applyNumberFormat="1" applyFont="1" applyBorder="1" applyAlignment="1">
      <alignment horizontal="center" vertical="center"/>
    </xf>
    <xf numFmtId="1" fontId="50" fillId="0" borderId="4" xfId="0" applyNumberFormat="1" applyFont="1" applyBorder="1" applyAlignment="1">
      <alignment horizontal="center" vertical="center"/>
    </xf>
    <xf numFmtId="3" fontId="35" fillId="0" borderId="11" xfId="0" applyNumberFormat="1" applyFont="1" applyBorder="1" applyAlignment="1">
      <alignment horizontal="center" vertical="center"/>
    </xf>
    <xf numFmtId="1" fontId="50" fillId="0" borderId="11" xfId="0" applyNumberFormat="1" applyFont="1" applyBorder="1" applyAlignment="1">
      <alignment horizontal="center" vertical="center"/>
    </xf>
    <xf numFmtId="3" fontId="35" fillId="7" borderId="3" xfId="0" applyNumberFormat="1" applyFont="1" applyFill="1" applyBorder="1" applyAlignment="1">
      <alignment horizontal="center" vertical="center"/>
    </xf>
    <xf numFmtId="2" fontId="36" fillId="0" borderId="100" xfId="0" applyNumberFormat="1" applyFont="1" applyBorder="1" applyAlignment="1">
      <alignment horizontal="center" vertical="center"/>
    </xf>
    <xf numFmtId="2" fontId="36" fillId="0" borderId="3" xfId="0" applyNumberFormat="1" applyFont="1" applyFill="1" applyBorder="1" applyAlignment="1">
      <alignment horizontal="center" vertical="center"/>
    </xf>
    <xf numFmtId="166" fontId="19" fillId="0" borderId="98" xfId="0" applyNumberFormat="1" applyFont="1" applyBorder="1" applyAlignment="1">
      <alignment horizontal="center" vertical="center"/>
    </xf>
    <xf numFmtId="1" fontId="19" fillId="0" borderId="11"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9" fillId="0" borderId="3" xfId="0" applyNumberFormat="1" applyFont="1" applyFill="1" applyBorder="1" applyAlignment="1">
      <alignment horizontal="center" vertical="center"/>
    </xf>
    <xf numFmtId="3" fontId="87" fillId="0" borderId="1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87" fillId="0" borderId="169" xfId="0" applyNumberFormat="1" applyFont="1" applyBorder="1" applyAlignment="1">
      <alignment horizontal="center" vertical="center"/>
    </xf>
    <xf numFmtId="3" fontId="87" fillId="7" borderId="3" xfId="0" applyNumberFormat="1" applyFont="1" applyFill="1" applyBorder="1" applyAlignment="1">
      <alignment horizontal="center" vertical="center"/>
    </xf>
    <xf numFmtId="2" fontId="23" fillId="0" borderId="3" xfId="0" applyNumberFormat="1" applyFont="1" applyBorder="1" applyAlignment="1">
      <alignment horizontal="center" vertical="center"/>
    </xf>
    <xf numFmtId="166" fontId="23" fillId="0" borderId="3" xfId="0" applyNumberFormat="1" applyFont="1" applyBorder="1" applyAlignment="1">
      <alignment horizontal="center" vertical="center"/>
    </xf>
    <xf numFmtId="166" fontId="18" fillId="0" borderId="3"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4" xfId="0" applyNumberFormat="1" applyFont="1" applyBorder="1" applyAlignment="1">
      <alignment horizontal="center" vertical="center"/>
    </xf>
    <xf numFmtId="2" fontId="50" fillId="7" borderId="3" xfId="0" applyNumberFormat="1" applyFont="1" applyFill="1" applyBorder="1" applyAlignment="1">
      <alignment horizontal="center" vertical="center"/>
    </xf>
    <xf numFmtId="2" fontId="50" fillId="7" borderId="100" xfId="0" applyNumberFormat="1" applyFont="1" applyFill="1" applyBorder="1" applyAlignment="1">
      <alignment horizontal="center" vertical="center"/>
    </xf>
    <xf numFmtId="1" fontId="50" fillId="7" borderId="98" xfId="0" applyNumberFormat="1" applyFont="1" applyFill="1" applyBorder="1" applyAlignment="1">
      <alignment horizontal="center" vertical="center"/>
    </xf>
    <xf numFmtId="1" fontId="50" fillId="7" borderId="11" xfId="0" applyNumberFormat="1" applyFont="1" applyFill="1" applyBorder="1" applyAlignment="1">
      <alignment horizontal="center" vertical="center"/>
    </xf>
    <xf numFmtId="2" fontId="18" fillId="0" borderId="4" xfId="0" applyNumberFormat="1" applyFont="1" applyBorder="1" applyAlignment="1">
      <alignment horizontal="center" vertical="center"/>
    </xf>
    <xf numFmtId="3" fontId="19" fillId="0" borderId="8" xfId="0" applyNumberFormat="1" applyFont="1" applyFill="1" applyBorder="1" applyAlignment="1">
      <alignment horizontal="center" vertical="center"/>
    </xf>
    <xf numFmtId="2" fontId="23" fillId="0" borderId="8" xfId="0" applyNumberFormat="1" applyFont="1" applyBorder="1" applyAlignment="1">
      <alignment horizontal="center" vertical="center"/>
    </xf>
    <xf numFmtId="2" fontId="18" fillId="7" borderId="95" xfId="0" applyNumberFormat="1" applyFont="1" applyFill="1" applyBorder="1" applyAlignment="1">
      <alignment horizontal="center" vertical="center" wrapText="1"/>
    </xf>
    <xf numFmtId="2" fontId="18" fillId="7" borderId="92" xfId="0" applyNumberFormat="1" applyFont="1" applyFill="1" applyBorder="1" applyAlignment="1">
      <alignment horizontal="center" vertical="center" wrapText="1"/>
    </xf>
    <xf numFmtId="1" fontId="19" fillId="0" borderId="95" xfId="0" applyNumberFormat="1" applyFont="1" applyBorder="1" applyAlignment="1">
      <alignment horizontal="center" vertical="center"/>
    </xf>
    <xf numFmtId="1" fontId="19" fillId="0" borderId="86" xfId="0" applyNumberFormat="1" applyFont="1" applyBorder="1" applyAlignment="1">
      <alignment horizontal="center" vertical="center"/>
    </xf>
    <xf numFmtId="1" fontId="50" fillId="0" borderId="64" xfId="0" applyNumberFormat="1" applyFont="1" applyBorder="1" applyAlignment="1">
      <alignment horizontal="center" vertical="center"/>
    </xf>
    <xf numFmtId="1" fontId="19" fillId="0" borderId="64" xfId="0" applyNumberFormat="1" applyFont="1" applyBorder="1" applyAlignment="1">
      <alignment horizontal="center" vertical="center"/>
    </xf>
    <xf numFmtId="3" fontId="19" fillId="0" borderId="64" xfId="0" applyNumberFormat="1" applyFont="1" applyBorder="1" applyAlignment="1">
      <alignment horizontal="center" vertical="center"/>
    </xf>
    <xf numFmtId="3" fontId="50" fillId="0" borderId="66" xfId="0" applyNumberFormat="1" applyFont="1" applyBorder="1" applyAlignment="1">
      <alignment horizontal="center" vertical="center"/>
    </xf>
    <xf numFmtId="1" fontId="50" fillId="0" borderId="86" xfId="0" applyNumberFormat="1" applyFont="1" applyBorder="1" applyAlignment="1">
      <alignment horizontal="center" vertical="center"/>
    </xf>
    <xf numFmtId="1" fontId="50" fillId="0" borderId="70" xfId="0" applyNumberFormat="1" applyFont="1" applyBorder="1" applyAlignment="1">
      <alignment horizontal="center" vertical="center"/>
    </xf>
    <xf numFmtId="3" fontId="19" fillId="0" borderId="70" xfId="0" applyNumberFormat="1" applyFont="1" applyBorder="1" applyAlignment="1">
      <alignment horizontal="center" vertical="center"/>
    </xf>
    <xf numFmtId="3" fontId="35" fillId="0" borderId="133" xfId="0" applyNumberFormat="1" applyFont="1" applyBorder="1" applyAlignment="1">
      <alignment horizontal="center" vertical="center"/>
    </xf>
    <xf numFmtId="1" fontId="50" fillId="0" borderId="133" xfId="0" applyNumberFormat="1" applyFont="1" applyBorder="1" applyAlignment="1">
      <alignment horizontal="center" vertical="center"/>
    </xf>
    <xf numFmtId="3" fontId="35" fillId="7" borderId="64" xfId="0" applyNumberFormat="1" applyFont="1" applyFill="1" applyBorder="1" applyAlignment="1">
      <alignment horizontal="center" vertical="center"/>
    </xf>
    <xf numFmtId="2" fontId="36" fillId="0" borderId="66" xfId="0" applyNumberFormat="1" applyFont="1" applyBorder="1" applyAlignment="1">
      <alignment horizontal="center" vertical="center"/>
    </xf>
    <xf numFmtId="166" fontId="19" fillId="0" borderId="105" xfId="0" applyNumberFormat="1" applyFont="1" applyBorder="1" applyAlignment="1">
      <alignment horizontal="center" vertical="center"/>
    </xf>
    <xf numFmtId="1" fontId="19" fillId="0" borderId="133" xfId="0" applyNumberFormat="1" applyFont="1" applyBorder="1" applyAlignment="1">
      <alignment horizontal="center" vertical="center"/>
    </xf>
    <xf numFmtId="3" fontId="20" fillId="0" borderId="133" xfId="0" applyNumberFormat="1" applyFont="1" applyBorder="1" applyAlignment="1">
      <alignment horizontal="center" vertical="center"/>
    </xf>
    <xf numFmtId="3" fontId="19" fillId="0" borderId="68" xfId="0" applyNumberFormat="1" applyFont="1" applyFill="1" applyBorder="1" applyAlignment="1">
      <alignment horizontal="center" vertical="center"/>
    </xf>
    <xf numFmtId="3" fontId="87" fillId="0" borderId="133" xfId="0" applyNumberFormat="1" applyFont="1" applyBorder="1" applyAlignment="1">
      <alignment horizontal="center" vertical="center"/>
    </xf>
    <xf numFmtId="3" fontId="18" fillId="0" borderId="133" xfId="0" applyNumberFormat="1" applyFont="1" applyBorder="1" applyAlignment="1">
      <alignment horizontal="center" vertical="center"/>
    </xf>
    <xf numFmtId="3" fontId="87" fillId="0" borderId="135" xfId="0" applyNumberFormat="1" applyFont="1" applyBorder="1" applyAlignment="1">
      <alignment horizontal="center" vertical="center"/>
    </xf>
    <xf numFmtId="3" fontId="87" fillId="7" borderId="64" xfId="0" applyNumberFormat="1" applyFont="1" applyFill="1" applyBorder="1" applyAlignment="1">
      <alignment horizontal="center" vertical="center"/>
    </xf>
    <xf numFmtId="2" fontId="23" fillId="0" borderId="68" xfId="0" applyNumberFormat="1" applyFont="1" applyBorder="1" applyAlignment="1">
      <alignment horizontal="center" vertical="center"/>
    </xf>
    <xf numFmtId="2" fontId="23" fillId="0" borderId="64" xfId="0" applyNumberFormat="1" applyFont="1" applyBorder="1" applyAlignment="1">
      <alignment horizontal="center" vertical="center"/>
    </xf>
    <xf numFmtId="166" fontId="23" fillId="0" borderId="64" xfId="0" applyNumberFormat="1" applyFont="1" applyBorder="1" applyAlignment="1">
      <alignment horizontal="center" vertical="center"/>
    </xf>
    <xf numFmtId="166" fontId="18" fillId="0" borderId="64" xfId="0" applyNumberFormat="1" applyFont="1" applyBorder="1" applyAlignment="1">
      <alignment horizontal="center" vertical="center"/>
    </xf>
    <xf numFmtId="2" fontId="18" fillId="0" borderId="70" xfId="0" applyNumberFormat="1" applyFont="1" applyBorder="1" applyAlignment="1">
      <alignment horizontal="center" vertical="center"/>
    </xf>
    <xf numFmtId="2" fontId="19" fillId="0" borderId="64" xfId="0" applyNumberFormat="1" applyFont="1" applyBorder="1" applyAlignment="1">
      <alignment horizontal="center" vertical="center"/>
    </xf>
    <xf numFmtId="2" fontId="19" fillId="0" borderId="70" xfId="0" applyNumberFormat="1" applyFont="1" applyBorder="1" applyAlignment="1">
      <alignment horizontal="center" vertical="center"/>
    </xf>
    <xf numFmtId="2" fontId="50" fillId="7" borderId="64" xfId="0" applyNumberFormat="1" applyFont="1" applyFill="1" applyBorder="1" applyAlignment="1">
      <alignment horizontal="center" vertical="center"/>
    </xf>
    <xf numFmtId="2" fontId="50" fillId="7" borderId="66" xfId="0" applyNumberFormat="1" applyFont="1" applyFill="1" applyBorder="1" applyAlignment="1">
      <alignment horizontal="center" vertical="center"/>
    </xf>
    <xf numFmtId="1" fontId="50" fillId="7" borderId="105" xfId="0" applyNumberFormat="1" applyFont="1" applyFill="1" applyBorder="1" applyAlignment="1">
      <alignment horizontal="center" vertical="center"/>
    </xf>
    <xf numFmtId="1" fontId="50" fillId="7" borderId="137" xfId="0" applyNumberFormat="1" applyFont="1" applyFill="1" applyBorder="1" applyAlignment="1">
      <alignment horizontal="center" vertical="center"/>
    </xf>
    <xf numFmtId="1" fontId="50" fillId="7" borderId="135" xfId="0" applyNumberFormat="1" applyFont="1" applyFill="1" applyBorder="1" applyAlignment="1">
      <alignment horizontal="center" vertical="center"/>
    </xf>
    <xf numFmtId="2" fontId="18" fillId="7" borderId="123" xfId="0" applyNumberFormat="1" applyFont="1" applyFill="1" applyBorder="1" applyAlignment="1">
      <alignment horizontal="center" vertical="center" wrapText="1"/>
    </xf>
    <xf numFmtId="0" fontId="22" fillId="0" borderId="64" xfId="0" applyFont="1" applyBorder="1" applyAlignment="1"/>
    <xf numFmtId="1" fontId="50" fillId="7" borderId="138" xfId="0" applyNumberFormat="1" applyFont="1" applyFill="1" applyBorder="1" applyAlignment="1">
      <alignment horizontal="center" vertical="center"/>
    </xf>
    <xf numFmtId="1" fontId="50" fillId="7" borderId="122" xfId="0" applyNumberFormat="1" applyFont="1" applyFill="1" applyBorder="1" applyAlignment="1">
      <alignment horizontal="center" vertical="center"/>
    </xf>
    <xf numFmtId="0" fontId="0" fillId="27" borderId="0" xfId="0" applyFill="1"/>
    <xf numFmtId="0" fontId="0" fillId="0" borderId="170" xfId="0" applyBorder="1"/>
    <xf numFmtId="0" fontId="102" fillId="0" borderId="22" xfId="0" applyFont="1" applyBorder="1" applyAlignment="1">
      <alignment vertical="center"/>
    </xf>
    <xf numFmtId="0" fontId="20" fillId="0" borderId="0" xfId="0" applyFont="1" applyBorder="1" applyAlignment="1">
      <alignment horizontal="right" vertical="center"/>
    </xf>
    <xf numFmtId="177" fontId="1" fillId="0" borderId="19" xfId="0" applyNumberFormat="1" applyFont="1" applyBorder="1" applyAlignment="1" applyProtection="1">
      <alignment horizontal="right" vertical="center"/>
    </xf>
    <xf numFmtId="0" fontId="96" fillId="10" borderId="7" xfId="3" applyFont="1" applyFill="1" applyBorder="1" applyAlignment="1" applyProtection="1">
      <alignment horizontal="center"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0" fontId="18" fillId="7" borderId="96" xfId="0" applyFont="1" applyFill="1" applyBorder="1" applyAlignment="1">
      <alignment vertical="center"/>
    </xf>
    <xf numFmtId="1" fontId="0" fillId="0" borderId="9" xfId="0" applyNumberFormat="1" applyFill="1" applyBorder="1" applyAlignment="1">
      <alignment horizontal="center"/>
    </xf>
    <xf numFmtId="1" fontId="0" fillId="0" borderId="3" xfId="0" applyNumberFormat="1" applyFill="1" applyBorder="1" applyAlignment="1">
      <alignment horizontal="center"/>
    </xf>
    <xf numFmtId="1" fontId="0" fillId="0" borderId="8" xfId="0" applyNumberFormat="1" applyFill="1" applyBorder="1" applyAlignment="1">
      <alignment horizontal="center"/>
    </xf>
    <xf numFmtId="1" fontId="0" fillId="0" borderId="4" xfId="0" applyNumberFormat="1" applyFill="1" applyBorder="1" applyAlignment="1">
      <alignment horizontal="center"/>
    </xf>
    <xf numFmtId="1" fontId="0" fillId="0" borderId="53" xfId="0" applyNumberFormat="1" applyFill="1" applyBorder="1" applyAlignment="1">
      <alignment horizontal="center"/>
    </xf>
    <xf numFmtId="1" fontId="36" fillId="28" borderId="63" xfId="8" applyNumberFormat="1" applyFont="1" applyFill="1" applyBorder="1" applyAlignment="1" applyProtection="1">
      <alignment vertical="center"/>
    </xf>
    <xf numFmtId="1" fontId="36" fillId="28" borderId="0" xfId="8" applyNumberFormat="1" applyFont="1" applyFill="1" applyBorder="1" applyAlignment="1" applyProtection="1">
      <alignment vertical="center"/>
    </xf>
    <xf numFmtId="0" fontId="22" fillId="28" borderId="64" xfId="0" applyFont="1" applyFill="1" applyBorder="1" applyAlignment="1">
      <alignment horizontal="right" vertical="center"/>
    </xf>
    <xf numFmtId="2" fontId="36" fillId="28" borderId="0" xfId="0" applyNumberFormat="1" applyFont="1" applyFill="1" applyBorder="1" applyAlignment="1">
      <alignment horizontal="center" vertical="center"/>
    </xf>
    <xf numFmtId="2" fontId="36" fillId="28" borderId="3" xfId="0" applyNumberFormat="1" applyFont="1" applyFill="1" applyBorder="1" applyAlignment="1">
      <alignment horizontal="center" vertical="center"/>
    </xf>
    <xf numFmtId="2" fontId="36" fillId="28" borderId="68" xfId="0" applyNumberFormat="1" applyFont="1" applyFill="1" applyBorder="1" applyAlignment="1">
      <alignment horizontal="center" vertical="center"/>
    </xf>
    <xf numFmtId="2" fontId="36" fillId="28" borderId="64" xfId="0" applyNumberFormat="1" applyFont="1" applyFill="1" applyBorder="1" applyAlignment="1">
      <alignment horizontal="center" vertical="center"/>
    </xf>
    <xf numFmtId="2" fontId="36" fillId="28" borderId="10" xfId="0" applyNumberFormat="1" applyFont="1" applyFill="1" applyBorder="1" applyAlignment="1">
      <alignment horizontal="center" vertical="center"/>
    </xf>
    <xf numFmtId="2" fontId="36" fillId="28" borderId="8" xfId="0" applyNumberFormat="1" applyFont="1" applyFill="1" applyBorder="1" applyAlignment="1">
      <alignment horizontal="center" vertical="center"/>
    </xf>
    <xf numFmtId="2" fontId="36" fillId="28" borderId="67" xfId="0" applyNumberFormat="1" applyFont="1" applyFill="1" applyBorder="1" applyAlignment="1">
      <alignment horizontal="center" vertical="center"/>
    </xf>
    <xf numFmtId="0" fontId="18" fillId="28" borderId="63" xfId="8" applyFont="1" applyFill="1" applyBorder="1" applyAlignment="1" applyProtection="1">
      <alignment vertical="center"/>
    </xf>
    <xf numFmtId="0" fontId="18" fillId="28" borderId="0" xfId="8" applyFont="1" applyFill="1" applyBorder="1" applyAlignment="1" applyProtection="1">
      <alignment vertical="center"/>
    </xf>
    <xf numFmtId="0" fontId="20" fillId="28" borderId="64" xfId="0" applyFont="1" applyFill="1" applyBorder="1" applyAlignment="1">
      <alignment horizontal="right" vertical="center"/>
    </xf>
    <xf numFmtId="2" fontId="18" fillId="28" borderId="0" xfId="0" applyNumberFormat="1" applyFont="1" applyFill="1" applyBorder="1" applyAlignment="1">
      <alignment horizontal="center" vertical="center"/>
    </xf>
    <xf numFmtId="2" fontId="18" fillId="28" borderId="3" xfId="0" applyNumberFormat="1" applyFont="1" applyFill="1" applyBorder="1" applyAlignment="1">
      <alignment horizontal="center" vertical="center"/>
    </xf>
    <xf numFmtId="2" fontId="18" fillId="28" borderId="68" xfId="0" applyNumberFormat="1" applyFont="1" applyFill="1" applyBorder="1" applyAlignment="1">
      <alignment horizontal="center" vertical="center"/>
    </xf>
    <xf numFmtId="2" fontId="18" fillId="28" borderId="64" xfId="0" applyNumberFormat="1" applyFont="1" applyFill="1" applyBorder="1" applyAlignment="1">
      <alignment horizontal="center" vertical="center"/>
    </xf>
    <xf numFmtId="2" fontId="18" fillId="28" borderId="10" xfId="0" applyNumberFormat="1" applyFont="1" applyFill="1" applyBorder="1" applyAlignment="1">
      <alignment horizontal="center" vertical="center"/>
    </xf>
    <xf numFmtId="2" fontId="18" fillId="28" borderId="8" xfId="0" applyNumberFormat="1" applyFont="1" applyFill="1" applyBorder="1" applyAlignment="1">
      <alignment horizontal="center" vertical="center"/>
    </xf>
    <xf numFmtId="2" fontId="18" fillId="28" borderId="67" xfId="0" applyNumberFormat="1" applyFont="1" applyFill="1" applyBorder="1" applyAlignment="1">
      <alignment horizontal="center"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3" fontId="20" fillId="3" borderId="7" xfId="0" applyNumberFormat="1" applyFont="1" applyFill="1" applyBorder="1" applyAlignment="1" applyProtection="1">
      <alignment horizontal="center" vertical="center"/>
      <protection locked="0"/>
    </xf>
    <xf numFmtId="3" fontId="20" fillId="3" borderId="4" xfId="0" applyNumberFormat="1" applyFont="1" applyFill="1" applyBorder="1" applyAlignment="1" applyProtection="1">
      <alignment horizontal="center" vertical="center"/>
      <protection locked="0"/>
    </xf>
    <xf numFmtId="1" fontId="19" fillId="20" borderId="8" xfId="0" applyNumberFormat="1" applyFont="1" applyFill="1" applyBorder="1" applyAlignment="1">
      <alignment horizontal="center" vertical="center"/>
    </xf>
    <xf numFmtId="1" fontId="50" fillId="20" borderId="8" xfId="0" applyNumberFormat="1" applyFont="1" applyFill="1" applyBorder="1" applyAlignment="1">
      <alignment horizontal="center" vertical="center"/>
    </xf>
    <xf numFmtId="3" fontId="19" fillId="20" borderId="8" xfId="0" applyNumberFormat="1" applyFont="1" applyFill="1" applyBorder="1" applyAlignment="1">
      <alignment horizontal="center" vertical="center"/>
    </xf>
    <xf numFmtId="3" fontId="50" fillId="20" borderId="94" xfId="0" applyNumberFormat="1" applyFont="1" applyFill="1" applyBorder="1" applyAlignment="1">
      <alignment horizontal="center" vertical="center"/>
    </xf>
    <xf numFmtId="1" fontId="50" fillId="20" borderId="92" xfId="0" applyNumberFormat="1" applyFont="1" applyFill="1" applyBorder="1" applyAlignment="1">
      <alignment horizontal="center" vertical="center"/>
    </xf>
    <xf numFmtId="1" fontId="50" fillId="20" borderId="53" xfId="0" applyNumberFormat="1" applyFont="1" applyFill="1" applyBorder="1" applyAlignment="1">
      <alignment horizontal="center" vertical="center"/>
    </xf>
    <xf numFmtId="3" fontId="19" fillId="20" borderId="53" xfId="0" applyNumberFormat="1" applyFont="1" applyFill="1" applyBorder="1" applyAlignment="1">
      <alignment horizontal="center" vertical="center"/>
    </xf>
    <xf numFmtId="1" fontId="19" fillId="20" borderId="24" xfId="0" applyNumberFormat="1" applyFont="1" applyFill="1" applyBorder="1" applyAlignment="1">
      <alignment horizontal="center" vertical="center"/>
    </xf>
    <xf numFmtId="1" fontId="50" fillId="20" borderId="52" xfId="0" applyNumberFormat="1" applyFont="1" applyFill="1" applyBorder="1" applyAlignment="1">
      <alignment horizontal="center" vertical="center"/>
    </xf>
    <xf numFmtId="3" fontId="35" fillId="20" borderId="8" xfId="0" applyNumberFormat="1" applyFont="1" applyFill="1" applyBorder="1" applyAlignment="1">
      <alignment horizontal="center" vertical="center"/>
    </xf>
    <xf numFmtId="2" fontId="36" fillId="20" borderId="94" xfId="0" applyNumberFormat="1" applyFont="1" applyFill="1" applyBorder="1" applyAlignment="1">
      <alignment horizontal="center" vertical="center"/>
    </xf>
    <xf numFmtId="166" fontId="19" fillId="20" borderId="106" xfId="0" applyNumberFormat="1" applyFont="1" applyFill="1" applyBorder="1" applyAlignment="1">
      <alignment horizontal="center" vertical="center"/>
    </xf>
    <xf numFmtId="1" fontId="19" fillId="20" borderId="52" xfId="0" applyNumberFormat="1" applyFont="1" applyFill="1" applyBorder="1" applyAlignment="1">
      <alignment horizontal="center" vertical="center"/>
    </xf>
    <xf numFmtId="3" fontId="20" fillId="20" borderId="52" xfId="0" applyNumberFormat="1" applyFont="1" applyFill="1" applyBorder="1" applyAlignment="1">
      <alignment horizontal="center" vertical="center"/>
    </xf>
    <xf numFmtId="3" fontId="35" fillId="20" borderId="52" xfId="0" applyNumberFormat="1" applyFont="1" applyFill="1" applyBorder="1" applyAlignment="1">
      <alignment horizontal="center" vertical="center"/>
    </xf>
    <xf numFmtId="3" fontId="87" fillId="20" borderId="52" xfId="0" applyNumberFormat="1" applyFont="1" applyFill="1" applyBorder="1" applyAlignment="1">
      <alignment horizontal="center" vertical="center"/>
    </xf>
    <xf numFmtId="3" fontId="18" fillId="20" borderId="52" xfId="0" applyNumberFormat="1" applyFont="1" applyFill="1" applyBorder="1" applyAlignment="1">
      <alignment horizontal="center" vertical="center"/>
    </xf>
    <xf numFmtId="3" fontId="87" fillId="20" borderId="121" xfId="0" applyNumberFormat="1" applyFont="1" applyFill="1" applyBorder="1" applyAlignment="1">
      <alignment horizontal="center" vertical="center"/>
    </xf>
    <xf numFmtId="3" fontId="87" fillId="20" borderId="8" xfId="0" applyNumberFormat="1" applyFont="1" applyFill="1" applyBorder="1" applyAlignment="1">
      <alignment horizontal="center" vertical="center"/>
    </xf>
    <xf numFmtId="166" fontId="23" fillId="20" borderId="8" xfId="0" applyNumberFormat="1" applyFont="1" applyFill="1" applyBorder="1" applyAlignment="1">
      <alignment horizontal="center" vertical="center"/>
    </xf>
    <xf numFmtId="2" fontId="18" fillId="20" borderId="53" xfId="0" applyNumberFormat="1" applyFont="1" applyFill="1" applyBorder="1" applyAlignment="1">
      <alignment horizontal="center" vertical="center"/>
    </xf>
    <xf numFmtId="2" fontId="19" fillId="20" borderId="8" xfId="0" applyNumberFormat="1" applyFont="1" applyFill="1" applyBorder="1" applyAlignment="1">
      <alignment horizontal="center" vertical="center"/>
    </xf>
    <xf numFmtId="2" fontId="19" fillId="20" borderId="53" xfId="0" applyNumberFormat="1" applyFont="1" applyFill="1" applyBorder="1" applyAlignment="1">
      <alignment horizontal="center" vertical="center"/>
    </xf>
    <xf numFmtId="2" fontId="50" fillId="20" borderId="8" xfId="0" applyNumberFormat="1" applyFont="1" applyFill="1" applyBorder="1" applyAlignment="1">
      <alignment horizontal="center" vertical="center"/>
    </xf>
    <xf numFmtId="2" fontId="50" fillId="20" borderId="94" xfId="0" applyNumberFormat="1" applyFont="1" applyFill="1" applyBorder="1" applyAlignment="1">
      <alignment horizontal="center" vertical="center"/>
    </xf>
    <xf numFmtId="1" fontId="50" fillId="20" borderId="106" xfId="0" applyNumberFormat="1" applyFont="1" applyFill="1" applyBorder="1" applyAlignment="1">
      <alignment horizontal="center" vertical="center"/>
    </xf>
    <xf numFmtId="1" fontId="50" fillId="20" borderId="9" xfId="0" applyNumberFormat="1" applyFont="1" applyFill="1" applyBorder="1" applyAlignment="1">
      <alignment horizontal="center" vertical="center"/>
    </xf>
    <xf numFmtId="0" fontId="1" fillId="0" borderId="0" xfId="8" applyFont="1" applyBorder="1" applyAlignment="1" applyProtection="1">
      <alignment vertical="center"/>
    </xf>
    <xf numFmtId="0" fontId="1" fillId="0" borderId="7" xfId="8" applyFont="1" applyBorder="1" applyAlignment="1" applyProtection="1">
      <alignment vertical="center"/>
    </xf>
    <xf numFmtId="0" fontId="20" fillId="0" borderId="0" xfId="0" applyFont="1" applyBorder="1" applyAlignment="1">
      <alignment horizontal="right" vertical="center"/>
    </xf>
    <xf numFmtId="0" fontId="0" fillId="0" borderId="3" xfId="0" applyBorder="1" applyAlignment="1">
      <alignment horizontal="center" vertical="center" textRotation="90"/>
    </xf>
    <xf numFmtId="0" fontId="0" fillId="0" borderId="0" xfId="0" applyBorder="1" applyAlignment="1">
      <alignment horizontal="center" textRotation="90"/>
    </xf>
    <xf numFmtId="1" fontId="22" fillId="0" borderId="115" xfId="0" applyNumberFormat="1" applyFont="1" applyBorder="1" applyAlignment="1">
      <alignment horizontal="center"/>
    </xf>
    <xf numFmtId="0" fontId="18" fillId="0" borderId="0" xfId="0" applyFont="1" applyBorder="1" applyAlignment="1">
      <alignment vertical="top"/>
    </xf>
    <xf numFmtId="6" fontId="20" fillId="0" borderId="114" xfId="0" applyNumberFormat="1" applyFont="1" applyBorder="1" applyAlignment="1">
      <alignment horizontal="center" wrapText="1"/>
    </xf>
    <xf numFmtId="49" fontId="20" fillId="0" borderId="117" xfId="0" applyNumberFormat="1" applyFont="1" applyBorder="1" applyAlignment="1">
      <alignment horizontal="center"/>
    </xf>
    <xf numFmtId="0" fontId="1" fillId="3" borderId="63" xfId="0" applyFont="1" applyFill="1" applyBorder="1" applyAlignment="1" applyProtection="1">
      <alignment vertical="center"/>
      <protection locked="0"/>
    </xf>
    <xf numFmtId="0" fontId="1" fillId="3" borderId="6" xfId="8" applyFont="1" applyFill="1" applyBorder="1" applyAlignment="1" applyProtection="1">
      <alignment vertical="center"/>
      <protection locked="0"/>
    </xf>
    <xf numFmtId="2" fontId="16" fillId="0" borderId="151" xfId="0" applyNumberFormat="1" applyFont="1" applyFill="1" applyBorder="1" applyAlignment="1">
      <alignment horizontal="right"/>
    </xf>
    <xf numFmtId="2" fontId="16" fillId="0" borderId="53" xfId="0" applyNumberFormat="1" applyFont="1" applyBorder="1" applyAlignment="1">
      <alignment horizontal="right"/>
    </xf>
    <xf numFmtId="2" fontId="0" fillId="11" borderId="8" xfId="0" applyNumberFormat="1" applyFill="1" applyBorder="1"/>
    <xf numFmtId="2" fontId="0" fillId="0" borderId="8" xfId="0" applyNumberFormat="1" applyBorder="1"/>
    <xf numFmtId="2" fontId="0" fillId="0" borderId="53" xfId="0" applyNumberFormat="1" applyBorder="1"/>
    <xf numFmtId="2" fontId="0" fillId="0" borderId="22" xfId="0" applyNumberFormat="1" applyBorder="1" applyAlignment="1">
      <alignment vertical="center"/>
    </xf>
    <xf numFmtId="2" fontId="0" fillId="11" borderId="151" xfId="0" applyNumberFormat="1" applyFill="1" applyBorder="1"/>
    <xf numFmtId="168" fontId="16" fillId="0" borderId="151" xfId="0" applyNumberFormat="1" applyFont="1" applyBorder="1" applyAlignment="1">
      <alignment horizontal="center"/>
    </xf>
    <xf numFmtId="168" fontId="16" fillId="0" borderId="8" xfId="0" applyNumberFormat="1" applyFont="1" applyBorder="1" applyAlignment="1">
      <alignment horizontal="center"/>
    </xf>
    <xf numFmtId="168" fontId="16" fillId="0" borderId="53" xfId="0" applyNumberFormat="1" applyFont="1" applyBorder="1" applyAlignment="1">
      <alignment horizontal="center"/>
    </xf>
    <xf numFmtId="169" fontId="29" fillId="3" borderId="45" xfId="8" applyNumberFormat="1" applyFont="1" applyFill="1" applyBorder="1" applyAlignment="1" applyProtection="1">
      <alignment horizontal="right" vertical="center"/>
      <protection locked="0"/>
    </xf>
    <xf numFmtId="0" fontId="1" fillId="0" borderId="44" xfId="0" applyFont="1" applyBorder="1" applyAlignment="1">
      <alignment horizontal="left" vertical="center"/>
    </xf>
    <xf numFmtId="0" fontId="1" fillId="0" borderId="44" xfId="0" applyFont="1" applyBorder="1" applyAlignment="1">
      <alignment horizontal="right" vertical="center"/>
    </xf>
    <xf numFmtId="0" fontId="1" fillId="0" borderId="26" xfId="0" applyFont="1" applyFill="1" applyBorder="1" applyAlignment="1" applyProtection="1">
      <alignment vertical="center"/>
      <protection locked="0"/>
    </xf>
    <xf numFmtId="182" fontId="29" fillId="3" borderId="45" xfId="8" applyNumberFormat="1" applyFont="1" applyFill="1" applyBorder="1" applyAlignment="1" applyProtection="1">
      <alignment horizontal="right" vertical="center"/>
      <protection locked="0"/>
    </xf>
    <xf numFmtId="1" fontId="16" fillId="0" borderId="5" xfId="0" applyNumberFormat="1" applyFont="1" applyFill="1" applyBorder="1" applyAlignment="1">
      <alignment horizontal="center"/>
    </xf>
    <xf numFmtId="1" fontId="16" fillId="0" borderId="3" xfId="0" applyNumberFormat="1" applyFont="1" applyFill="1" applyBorder="1" applyAlignment="1">
      <alignment horizontal="center"/>
    </xf>
    <xf numFmtId="195" fontId="29" fillId="3" borderId="58" xfId="0" applyNumberFormat="1" applyFont="1" applyFill="1" applyBorder="1" applyAlignment="1" applyProtection="1">
      <alignment horizontal="right" vertical="center"/>
      <protection locked="0"/>
    </xf>
    <xf numFmtId="195" fontId="29" fillId="3" borderId="45" xfId="0" applyNumberFormat="1" applyFont="1" applyFill="1" applyBorder="1" applyAlignment="1" applyProtection="1">
      <alignment horizontal="right" vertical="center"/>
      <protection locked="0"/>
    </xf>
    <xf numFmtId="0" fontId="1" fillId="3" borderId="0" xfId="8" applyFont="1" applyFill="1" applyBorder="1" applyAlignment="1" applyProtection="1">
      <alignment vertical="center"/>
      <protection locked="0"/>
    </xf>
    <xf numFmtId="0" fontId="0" fillId="19" borderId="31" xfId="0" applyFill="1" applyBorder="1" applyAlignment="1">
      <alignment horizontal="center" vertical="center"/>
    </xf>
    <xf numFmtId="2" fontId="22" fillId="0" borderId="3" xfId="0" applyNumberFormat="1" applyFont="1" applyBorder="1"/>
    <xf numFmtId="2" fontId="22" fillId="0" borderId="3" xfId="0" applyNumberFormat="1" applyFont="1" applyBorder="1" applyAlignment="1">
      <alignment horizontal="right"/>
    </xf>
    <xf numFmtId="0" fontId="22" fillId="0" borderId="0" xfId="0" applyFont="1" applyAlignment="1" applyProtection="1">
      <alignment horizontal="left" vertical="center"/>
    </xf>
    <xf numFmtId="0" fontId="22" fillId="20" borderId="165" xfId="0" applyFont="1" applyFill="1" applyBorder="1" applyAlignment="1" applyProtection="1">
      <alignment horizontal="right"/>
    </xf>
    <xf numFmtId="0" fontId="31" fillId="0" borderId="32" xfId="0" applyFont="1" applyFill="1" applyBorder="1" applyAlignment="1" applyProtection="1">
      <alignment horizontal="center" vertical="center"/>
    </xf>
    <xf numFmtId="0" fontId="1" fillId="0" borderId="18" xfId="0" applyFont="1" applyFill="1" applyBorder="1" applyAlignment="1" applyProtection="1">
      <alignment horizontal="center" vertical="center"/>
    </xf>
    <xf numFmtId="0" fontId="32" fillId="0" borderId="3" xfId="0" applyFont="1" applyFill="1" applyBorder="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horizontal="right" vertical="center"/>
    </xf>
    <xf numFmtId="0" fontId="1" fillId="0" borderId="0" xfId="0" applyFont="1" applyAlignment="1" applyProtection="1">
      <alignment horizontal="center" vertical="center"/>
    </xf>
    <xf numFmtId="177" fontId="31" fillId="0" borderId="52" xfId="0" applyNumberFormat="1" applyFont="1" applyBorder="1" applyAlignment="1" applyProtection="1">
      <alignment vertical="center"/>
    </xf>
    <xf numFmtId="0" fontId="31" fillId="0" borderId="19" xfId="0" applyFont="1" applyFill="1" applyBorder="1" applyAlignment="1" applyProtection="1">
      <alignment horizontal="center" vertical="center"/>
    </xf>
    <xf numFmtId="0" fontId="31" fillId="0" borderId="82" xfId="0" applyFont="1" applyFill="1" applyBorder="1" applyAlignment="1" applyProtection="1">
      <alignment horizontal="center" vertical="center"/>
    </xf>
    <xf numFmtId="0" fontId="113" fillId="18" borderId="163" xfId="3" applyFont="1" applyFill="1" applyBorder="1" applyAlignment="1" applyProtection="1"/>
    <xf numFmtId="3" fontId="22" fillId="11" borderId="18" xfId="0" applyNumberFormat="1" applyFont="1" applyFill="1" applyBorder="1" applyAlignment="1" applyProtection="1">
      <alignment vertical="center"/>
    </xf>
    <xf numFmtId="3" fontId="21" fillId="11" borderId="18" xfId="0" applyNumberFormat="1" applyFont="1" applyFill="1" applyBorder="1" applyAlignment="1" applyProtection="1">
      <alignment vertical="center"/>
    </xf>
    <xf numFmtId="3" fontId="22" fillId="11" borderId="14" xfId="0" applyNumberFormat="1" applyFont="1" applyFill="1" applyBorder="1" applyAlignment="1" applyProtection="1">
      <alignment vertical="center"/>
    </xf>
    <xf numFmtId="3" fontId="22" fillId="11" borderId="16" xfId="11" applyNumberFormat="1" applyFont="1" applyFill="1" applyBorder="1" applyAlignment="1" applyProtection="1">
      <alignment horizontal="right" vertical="center"/>
    </xf>
    <xf numFmtId="3" fontId="22" fillId="11" borderId="18" xfId="11" applyNumberFormat="1" applyFont="1" applyFill="1" applyBorder="1" applyAlignment="1" applyProtection="1">
      <alignment horizontal="right" vertical="center"/>
    </xf>
    <xf numFmtId="3" fontId="22" fillId="11" borderId="18" xfId="11" applyNumberFormat="1" applyFont="1" applyFill="1" applyBorder="1" applyAlignment="1" applyProtection="1">
      <alignment vertical="center"/>
    </xf>
    <xf numFmtId="3" fontId="22" fillId="11" borderId="6" xfId="0" applyNumberFormat="1" applyFont="1" applyFill="1" applyBorder="1" applyAlignment="1" applyProtection="1">
      <alignment vertical="center"/>
    </xf>
    <xf numFmtId="3" fontId="22" fillId="11" borderId="7" xfId="0" applyNumberFormat="1" applyFont="1" applyFill="1" applyBorder="1" applyAlignment="1" applyProtection="1">
      <alignment vertical="center"/>
    </xf>
    <xf numFmtId="0" fontId="18" fillId="29" borderId="83" xfId="0" applyFont="1" applyFill="1" applyBorder="1" applyAlignment="1">
      <alignment vertical="center"/>
    </xf>
    <xf numFmtId="0" fontId="22" fillId="29" borderId="85" xfId="0" applyFont="1" applyFill="1" applyBorder="1" applyAlignment="1">
      <alignment vertical="center"/>
    </xf>
    <xf numFmtId="0" fontId="22" fillId="29" borderId="86" xfId="0" applyFont="1" applyFill="1" applyBorder="1" applyAlignment="1">
      <alignment vertical="center"/>
    </xf>
    <xf numFmtId="0" fontId="38" fillId="29" borderId="0" xfId="0" applyFont="1" applyFill="1" applyBorder="1" applyAlignment="1">
      <alignment vertical="center"/>
    </xf>
    <xf numFmtId="0" fontId="38" fillId="29" borderId="64" xfId="0" applyFont="1" applyFill="1" applyBorder="1" applyAlignment="1">
      <alignment vertical="center"/>
    </xf>
    <xf numFmtId="0" fontId="38" fillId="29" borderId="63" xfId="0" applyFont="1" applyFill="1" applyBorder="1" applyAlignment="1">
      <alignment vertical="center"/>
    </xf>
    <xf numFmtId="0" fontId="1" fillId="0" borderId="0" xfId="0" applyFont="1" applyBorder="1" applyAlignment="1" applyProtection="1">
      <alignment vertical="center"/>
    </xf>
    <xf numFmtId="1" fontId="24" fillId="0" borderId="0" xfId="0" applyNumberFormat="1" applyFont="1" applyBorder="1" applyAlignment="1">
      <alignment horizontal="center" vertical="center"/>
    </xf>
    <xf numFmtId="1" fontId="24" fillId="0" borderId="3" xfId="0" applyNumberFormat="1" applyFont="1" applyBorder="1" applyAlignment="1">
      <alignment horizontal="center" vertical="center"/>
    </xf>
    <xf numFmtId="1" fontId="24" fillId="0" borderId="68" xfId="0" applyNumberFormat="1" applyFont="1" applyBorder="1" applyAlignment="1">
      <alignment horizontal="center" vertical="center"/>
    </xf>
    <xf numFmtId="1" fontId="24" fillId="0" borderId="64" xfId="0" applyNumberFormat="1" applyFont="1" applyBorder="1" applyAlignment="1">
      <alignment horizontal="center" vertical="center"/>
    </xf>
    <xf numFmtId="1" fontId="24" fillId="0" borderId="10" xfId="0" applyNumberFormat="1" applyFont="1" applyBorder="1" applyAlignment="1">
      <alignment horizontal="center" vertical="center"/>
    </xf>
    <xf numFmtId="1" fontId="24" fillId="0" borderId="8" xfId="0" applyNumberFormat="1" applyFont="1" applyBorder="1" applyAlignment="1">
      <alignment horizontal="center" vertical="center"/>
    </xf>
    <xf numFmtId="1" fontId="24" fillId="0" borderId="67" xfId="0" applyNumberFormat="1" applyFont="1" applyBorder="1" applyAlignment="1">
      <alignment horizontal="center" vertical="center"/>
    </xf>
    <xf numFmtId="1" fontId="24" fillId="20" borderId="8" xfId="0" applyNumberFormat="1" applyFont="1" applyFill="1" applyBorder="1" applyAlignment="1">
      <alignment horizontal="center" vertical="center"/>
    </xf>
    <xf numFmtId="0" fontId="20" fillId="19" borderId="52" xfId="0" applyFont="1" applyFill="1" applyBorder="1" applyAlignment="1" applyProtection="1">
      <alignment horizontal="center" vertical="center"/>
    </xf>
    <xf numFmtId="0" fontId="22" fillId="0" borderId="3" xfId="0" applyFont="1" applyBorder="1" applyAlignment="1">
      <alignment horizontal="right"/>
    </xf>
    <xf numFmtId="2" fontId="22" fillId="0" borderId="4" xfId="0" applyNumberFormat="1" applyFont="1" applyBorder="1" applyAlignment="1">
      <alignment horizontal="right"/>
    </xf>
    <xf numFmtId="0" fontId="23" fillId="4" borderId="0" xfId="0" applyFont="1" applyFill="1" applyBorder="1" applyAlignment="1" applyProtection="1">
      <alignment horizontal="left" vertical="center"/>
    </xf>
    <xf numFmtId="0" fontId="23" fillId="20" borderId="4" xfId="0" applyFont="1" applyFill="1" applyBorder="1" applyAlignment="1" applyProtection="1">
      <alignment horizontal="center"/>
    </xf>
    <xf numFmtId="0" fontId="23" fillId="20" borderId="33" xfId="0" applyFont="1" applyFill="1" applyBorder="1" applyAlignment="1" applyProtection="1">
      <alignment horizontal="center" vertical="center"/>
    </xf>
    <xf numFmtId="0" fontId="23" fillId="20" borderId="7" xfId="0" applyFont="1" applyFill="1" applyBorder="1"/>
    <xf numFmtId="0" fontId="23" fillId="20" borderId="49" xfId="0" applyFont="1" applyFill="1" applyBorder="1"/>
    <xf numFmtId="9" fontId="23" fillId="20" borderId="14" xfId="0" applyNumberFormat="1" applyFont="1" applyFill="1" applyBorder="1" applyAlignment="1" applyProtection="1">
      <alignment horizontal="center" vertical="center"/>
    </xf>
    <xf numFmtId="0" fontId="23" fillId="20" borderId="7" xfId="0" applyFont="1" applyFill="1" applyBorder="1" applyAlignment="1" applyProtection="1">
      <alignment vertical="center"/>
    </xf>
    <xf numFmtId="9" fontId="23" fillId="20" borderId="7" xfId="0" applyNumberFormat="1" applyFont="1" applyFill="1" applyBorder="1" applyAlignment="1" applyProtection="1">
      <alignment horizontal="center" vertical="center"/>
    </xf>
    <xf numFmtId="0" fontId="23" fillId="20" borderId="7" xfId="0" applyFont="1" applyFill="1" applyBorder="1" applyAlignment="1" applyProtection="1">
      <alignment horizontal="centerContinuous" vertical="center"/>
    </xf>
    <xf numFmtId="9" fontId="23" fillId="20" borderId="70" xfId="0" applyNumberFormat="1"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2" fillId="0" borderId="81" xfId="0" applyFont="1" applyBorder="1" applyAlignment="1">
      <alignment horizontal="center" vertical="center"/>
    </xf>
    <xf numFmtId="0" fontId="22" fillId="0" borderId="23" xfId="0" applyFont="1" applyFill="1" applyBorder="1" applyAlignment="1" applyProtection="1">
      <alignment horizontal="center" vertical="center"/>
    </xf>
    <xf numFmtId="171" fontId="22" fillId="3" borderId="32" xfId="0" applyNumberFormat="1" applyFont="1" applyFill="1" applyBorder="1" applyAlignment="1" applyProtection="1">
      <alignment vertical="center"/>
      <protection locked="0"/>
    </xf>
    <xf numFmtId="171" fontId="22" fillId="3" borderId="82" xfId="0" applyNumberFormat="1" applyFont="1" applyFill="1" applyBorder="1" applyAlignment="1" applyProtection="1">
      <alignment vertical="center"/>
      <protection locked="0"/>
    </xf>
    <xf numFmtId="0" fontId="116" fillId="0" borderId="0" xfId="0" applyFont="1" applyFill="1" applyBorder="1" applyAlignment="1">
      <alignment horizontal="left" vertical="center"/>
    </xf>
    <xf numFmtId="0" fontId="23" fillId="0" borderId="5" xfId="0" applyFont="1" applyBorder="1" applyAlignment="1" applyProtection="1">
      <alignment vertical="center"/>
    </xf>
    <xf numFmtId="0" fontId="23" fillId="0" borderId="6" xfId="0" applyFont="1" applyBorder="1" applyAlignment="1" applyProtection="1">
      <alignment vertical="center"/>
    </xf>
    <xf numFmtId="0" fontId="23" fillId="4" borderId="6" xfId="0" applyFont="1" applyFill="1" applyBorder="1" applyAlignment="1" applyProtection="1">
      <alignment horizontal="right" vertical="center"/>
    </xf>
    <xf numFmtId="0" fontId="23" fillId="0" borderId="6" xfId="0" applyFont="1" applyBorder="1" applyAlignment="1" applyProtection="1">
      <alignment horizontal="left" vertical="center"/>
    </xf>
    <xf numFmtId="0" fontId="23" fillId="0" borderId="6" xfId="0" applyFont="1" applyBorder="1" applyAlignment="1" applyProtection="1">
      <alignment horizontal="right" vertical="center"/>
    </xf>
    <xf numFmtId="0" fontId="22" fillId="3" borderId="1" xfId="0" applyNumberFormat="1" applyFont="1" applyFill="1" applyBorder="1" applyAlignment="1" applyProtection="1">
      <alignment horizontal="right" vertical="center"/>
      <protection locked="0"/>
    </xf>
    <xf numFmtId="0" fontId="28" fillId="0" borderId="83" xfId="0" applyFont="1" applyBorder="1" applyAlignment="1">
      <alignment vertical="top"/>
    </xf>
    <xf numFmtId="0" fontId="28" fillId="0" borderId="85" xfId="0" applyFont="1" applyFill="1" applyBorder="1" applyAlignment="1">
      <alignment horizontal="left" vertical="center"/>
    </xf>
    <xf numFmtId="0" fontId="1" fillId="0" borderId="0" xfId="0" applyFont="1" applyAlignment="1" applyProtection="1">
      <alignment horizontal="left" vertical="center"/>
    </xf>
    <xf numFmtId="0" fontId="22" fillId="0" borderId="0" xfId="0" applyFont="1" applyAlignment="1" applyProtection="1">
      <alignment horizontal="right" vertical="top"/>
    </xf>
    <xf numFmtId="180" fontId="1" fillId="3" borderId="2" xfId="0" applyNumberFormat="1" applyFont="1" applyFill="1" applyBorder="1" applyAlignment="1" applyProtection="1">
      <alignment horizontal="right" vertical="center"/>
      <protection locked="0"/>
    </xf>
    <xf numFmtId="0" fontId="20" fillId="0" borderId="4" xfId="0" applyFont="1" applyBorder="1" applyAlignment="1" applyProtection="1">
      <alignment vertical="center"/>
    </xf>
    <xf numFmtId="0" fontId="22" fillId="0" borderId="7" xfId="0" applyFont="1" applyBorder="1" applyAlignment="1" applyProtection="1">
      <alignment horizontal="center" vertical="center"/>
    </xf>
    <xf numFmtId="0" fontId="18" fillId="20" borderId="5" xfId="0" applyFont="1" applyFill="1" applyBorder="1" applyAlignment="1">
      <alignment horizontal="left" vertical="top"/>
    </xf>
    <xf numFmtId="0" fontId="18" fillId="20" borderId="6" xfId="0" applyFont="1" applyFill="1" applyBorder="1" applyAlignment="1">
      <alignment horizontal="left" vertical="top"/>
    </xf>
    <xf numFmtId="0" fontId="18" fillId="20" borderId="13" xfId="0" applyFont="1" applyFill="1" applyBorder="1" applyAlignment="1">
      <alignment horizontal="left" vertical="top"/>
    </xf>
    <xf numFmtId="0" fontId="18" fillId="20" borderId="4" xfId="0" applyFont="1" applyFill="1" applyBorder="1" applyAlignment="1">
      <alignment horizontal="left" vertical="top"/>
    </xf>
    <xf numFmtId="0" fontId="18" fillId="20" borderId="7" xfId="0" applyFont="1" applyFill="1" applyBorder="1" applyAlignment="1">
      <alignment horizontal="left" vertical="top"/>
    </xf>
    <xf numFmtId="0" fontId="18" fillId="20" borderId="24" xfId="0" applyFont="1" applyFill="1" applyBorder="1" applyAlignment="1">
      <alignment horizontal="left" vertical="top"/>
    </xf>
    <xf numFmtId="0" fontId="141" fillId="0" borderId="10" xfId="0" applyFont="1" applyBorder="1" applyAlignment="1" applyProtection="1">
      <alignment vertical="center"/>
    </xf>
    <xf numFmtId="0" fontId="141" fillId="0" borderId="10" xfId="0" quotePrefix="1" applyFont="1" applyBorder="1" applyAlignment="1" applyProtection="1">
      <alignment vertical="center"/>
    </xf>
    <xf numFmtId="0" fontId="102" fillId="19" borderId="31" xfId="0" applyFont="1" applyFill="1" applyBorder="1" applyAlignment="1">
      <alignment horizontal="center" vertical="center"/>
    </xf>
    <xf numFmtId="0" fontId="141" fillId="0" borderId="24" xfId="0" applyFont="1" applyBorder="1" applyAlignment="1" applyProtection="1">
      <alignment vertical="center"/>
    </xf>
    <xf numFmtId="49" fontId="22" fillId="0" borderId="3" xfId="0" applyNumberFormat="1" applyFont="1" applyBorder="1" applyAlignment="1">
      <alignment horizontal="right"/>
    </xf>
    <xf numFmtId="49" fontId="22" fillId="0" borderId="0" xfId="0" applyNumberFormat="1" applyFont="1" applyBorder="1" applyAlignment="1">
      <alignment horizontal="right"/>
    </xf>
    <xf numFmtId="2" fontId="22" fillId="0" borderId="0" xfId="0" applyNumberFormat="1" applyFont="1" applyBorder="1" applyAlignment="1">
      <alignment horizontal="right"/>
    </xf>
    <xf numFmtId="49" fontId="22" fillId="0" borderId="7" xfId="0" applyNumberFormat="1" applyFont="1" applyBorder="1" applyAlignment="1">
      <alignment horizontal="center"/>
    </xf>
    <xf numFmtId="0" fontId="16" fillId="0" borderId="0" xfId="9" applyFont="1"/>
    <xf numFmtId="0" fontId="141" fillId="3" borderId="8" xfId="0" applyFont="1" applyFill="1" applyBorder="1" applyAlignment="1" applyProtection="1">
      <alignment vertical="center"/>
      <protection locked="0"/>
    </xf>
    <xf numFmtId="0" fontId="142" fillId="3" borderId="63" xfId="0" applyFont="1" applyFill="1" applyBorder="1" applyAlignment="1" applyProtection="1">
      <alignment vertical="center"/>
      <protection locked="0"/>
    </xf>
    <xf numFmtId="0" fontId="142" fillId="3" borderId="72" xfId="0" applyFont="1" applyFill="1" applyBorder="1" applyAlignment="1" applyProtection="1">
      <alignment vertical="center"/>
      <protection locked="0"/>
    </xf>
    <xf numFmtId="0" fontId="1" fillId="0" borderId="3" xfId="0" applyFont="1" applyBorder="1" applyAlignment="1" applyProtection="1">
      <alignment vertical="center"/>
    </xf>
    <xf numFmtId="170" fontId="1" fillId="3" borderId="18" xfId="0" applyNumberFormat="1" applyFont="1" applyFill="1" applyBorder="1" applyAlignment="1" applyProtection="1">
      <alignment horizontal="right" vertical="center"/>
      <protection locked="0"/>
    </xf>
    <xf numFmtId="170" fontId="1" fillId="4" borderId="18" xfId="0" applyNumberFormat="1" applyFont="1" applyFill="1" applyBorder="1" applyAlignment="1" applyProtection="1">
      <alignment horizontal="right" vertical="center"/>
    </xf>
    <xf numFmtId="190" fontId="1" fillId="5" borderId="18" xfId="0" applyNumberFormat="1" applyFont="1" applyFill="1" applyBorder="1" applyAlignment="1" applyProtection="1">
      <alignment horizontal="right" vertical="center"/>
      <protection locked="0"/>
    </xf>
    <xf numFmtId="9" fontId="1" fillId="5" borderId="18" xfId="0" applyNumberFormat="1" applyFont="1" applyFill="1" applyBorder="1" applyAlignment="1" applyProtection="1">
      <alignment horizontal="center" vertical="center"/>
      <protection locked="0"/>
    </xf>
    <xf numFmtId="177" fontId="1" fillId="4" borderId="18" xfId="0" applyNumberFormat="1" applyFont="1" applyFill="1" applyBorder="1" applyAlignment="1" applyProtection="1">
      <alignment horizontal="right" vertical="center"/>
    </xf>
    <xf numFmtId="170" fontId="1" fillId="3" borderId="18" xfId="0" applyNumberFormat="1" applyFont="1" applyFill="1" applyBorder="1" applyAlignment="1" applyProtection="1">
      <alignment horizontal="center" vertical="center"/>
      <protection locked="0"/>
    </xf>
    <xf numFmtId="177" fontId="1" fillId="0" borderId="32" xfId="0" applyNumberFormat="1" applyFont="1" applyBorder="1" applyAlignment="1" applyProtection="1">
      <alignment horizontal="right" vertical="center"/>
    </xf>
    <xf numFmtId="177" fontId="1" fillId="0" borderId="18" xfId="0" applyNumberFormat="1" applyFont="1" applyBorder="1" applyAlignment="1" applyProtection="1">
      <alignment horizontal="right" vertical="center"/>
    </xf>
    <xf numFmtId="190" fontId="1" fillId="0" borderId="8" xfId="0" applyNumberFormat="1" applyFont="1" applyFill="1" applyBorder="1" applyAlignment="1" applyProtection="1">
      <alignment horizontal="right" vertical="center"/>
      <protection locked="0"/>
    </xf>
    <xf numFmtId="0" fontId="141" fillId="0" borderId="3" xfId="0" applyFont="1" applyBorder="1" applyAlignment="1"/>
    <xf numFmtId="0" fontId="141" fillId="0" borderId="4" xfId="0" applyFont="1" applyBorder="1" applyAlignment="1"/>
    <xf numFmtId="0" fontId="110" fillId="25" borderId="3" xfId="0" applyFont="1" applyFill="1" applyBorder="1" applyAlignment="1">
      <alignment vertical="top"/>
    </xf>
    <xf numFmtId="0" fontId="110" fillId="0" borderId="3" xfId="0" applyFont="1" applyBorder="1" applyAlignment="1"/>
    <xf numFmtId="0" fontId="141" fillId="0" borderId="0" xfId="0" applyFont="1" applyBorder="1" applyAlignment="1"/>
    <xf numFmtId="0" fontId="16" fillId="0" borderId="0" xfId="0" applyFont="1" applyAlignment="1">
      <alignment wrapText="1"/>
    </xf>
    <xf numFmtId="199" fontId="16" fillId="0" borderId="3" xfId="0" applyNumberFormat="1" applyFont="1" applyBorder="1" applyAlignment="1">
      <alignment horizontal="left"/>
    </xf>
    <xf numFmtId="0" fontId="22" fillId="14" borderId="52" xfId="0" applyFont="1" applyFill="1" applyBorder="1" applyAlignment="1">
      <alignment horizontal="center" vertical="center"/>
    </xf>
    <xf numFmtId="0" fontId="22" fillId="14" borderId="53" xfId="0" applyFont="1" applyFill="1" applyBorder="1" applyAlignment="1">
      <alignment horizontal="center" vertical="center"/>
    </xf>
    <xf numFmtId="0" fontId="20" fillId="0" borderId="0" xfId="0" applyFont="1" applyBorder="1" applyAlignment="1">
      <alignment horizontal="center"/>
    </xf>
    <xf numFmtId="0" fontId="22" fillId="0" borderId="3" xfId="0" applyFont="1" applyBorder="1" applyAlignment="1" applyProtection="1"/>
    <xf numFmtId="0" fontId="22" fillId="0" borderId="3" xfId="0" applyFont="1" applyBorder="1" applyAlignment="1"/>
    <xf numFmtId="0" fontId="20" fillId="25" borderId="3" xfId="0" applyFont="1" applyFill="1" applyBorder="1" applyAlignment="1">
      <alignment vertical="top"/>
    </xf>
    <xf numFmtId="0" fontId="22" fillId="0" borderId="11" xfId="0" applyFont="1" applyBorder="1" applyAlignment="1"/>
    <xf numFmtId="0" fontId="22" fillId="0" borderId="4" xfId="0" applyFont="1" applyBorder="1" applyAlignment="1"/>
    <xf numFmtId="0" fontId="20" fillId="0" borderId="3" xfId="0" applyFont="1" applyBorder="1" applyAlignment="1"/>
    <xf numFmtId="185" fontId="110" fillId="3" borderId="50" xfId="6" applyNumberFormat="1" applyFont="1" applyFill="1" applyBorder="1" applyAlignment="1" applyProtection="1">
      <alignment vertical="center"/>
      <protection locked="0"/>
    </xf>
    <xf numFmtId="185" fontId="110" fillId="3" borderId="14" xfId="6" applyNumberFormat="1" applyFont="1" applyFill="1" applyBorder="1" applyAlignment="1" applyProtection="1">
      <alignment vertical="center"/>
      <protection locked="0"/>
    </xf>
    <xf numFmtId="0" fontId="1" fillId="6" borderId="65" xfId="0" applyFont="1" applyFill="1" applyBorder="1" applyAlignment="1"/>
    <xf numFmtId="172" fontId="0" fillId="0" borderId="3" xfId="0" applyNumberFormat="1" applyBorder="1" applyAlignment="1">
      <alignment horizontal="right"/>
    </xf>
    <xf numFmtId="172" fontId="16" fillId="0" borderId="3" xfId="0" applyNumberFormat="1" applyFont="1" applyFill="1" applyBorder="1" applyAlignment="1">
      <alignment horizontal="right"/>
    </xf>
    <xf numFmtId="169" fontId="0" fillId="0" borderId="10" xfId="0" applyNumberFormat="1" applyBorder="1" applyAlignment="1">
      <alignment horizontal="right"/>
    </xf>
    <xf numFmtId="2" fontId="102" fillId="0" borderId="2" xfId="0" applyNumberFormat="1" applyFont="1" applyFill="1" applyBorder="1" applyAlignment="1">
      <alignment horizontal="right"/>
    </xf>
    <xf numFmtId="169" fontId="0" fillId="0" borderId="24" xfId="0" applyNumberFormat="1" applyBorder="1" applyAlignment="1">
      <alignment horizontal="right"/>
    </xf>
    <xf numFmtId="169" fontId="102" fillId="11" borderId="0" xfId="0" applyNumberFormat="1" applyFont="1" applyFill="1" applyBorder="1"/>
    <xf numFmtId="169" fontId="102" fillId="0" borderId="7" xfId="0" applyNumberFormat="1" applyFont="1" applyBorder="1"/>
    <xf numFmtId="169" fontId="102" fillId="0" borderId="0" xfId="0" applyNumberFormat="1" applyFont="1" applyBorder="1"/>
    <xf numFmtId="0" fontId="0" fillId="31" borderId="0" xfId="0" applyFill="1"/>
    <xf numFmtId="172" fontId="102" fillId="11" borderId="3" xfId="0" applyNumberFormat="1" applyFont="1" applyFill="1" applyBorder="1" applyAlignment="1">
      <alignment horizontal="right"/>
    </xf>
    <xf numFmtId="172" fontId="102" fillId="0" borderId="4" xfId="0" applyNumberFormat="1" applyFont="1" applyBorder="1" applyAlignment="1">
      <alignment horizontal="right"/>
    </xf>
    <xf numFmtId="172" fontId="102" fillId="0" borderId="3" xfId="0" applyNumberFormat="1" applyFont="1" applyBorder="1" applyAlignment="1">
      <alignment horizontal="right"/>
    </xf>
    <xf numFmtId="169" fontId="143" fillId="0" borderId="0" xfId="0" applyNumberFormat="1" applyFont="1" applyBorder="1"/>
    <xf numFmtId="0" fontId="143" fillId="0" borderId="0" xfId="0" applyFont="1"/>
    <xf numFmtId="49" fontId="143" fillId="11" borderId="3" xfId="0" applyNumberFormat="1" applyFont="1" applyFill="1" applyBorder="1" applyAlignment="1">
      <alignment horizontal="left"/>
    </xf>
    <xf numFmtId="172" fontId="143" fillId="11" borderId="3" xfId="0" applyNumberFormat="1" applyFont="1" applyFill="1" applyBorder="1" applyAlignment="1">
      <alignment horizontal="right"/>
    </xf>
    <xf numFmtId="169" fontId="143" fillId="11" borderId="0" xfId="0" applyNumberFormat="1" applyFont="1" applyFill="1" applyBorder="1"/>
    <xf numFmtId="169" fontId="143" fillId="11" borderId="10" xfId="0" applyNumberFormat="1" applyFont="1" applyFill="1" applyBorder="1"/>
    <xf numFmtId="49" fontId="16" fillId="11" borderId="27" xfId="0" applyNumberFormat="1" applyFont="1" applyFill="1" applyBorder="1" applyAlignment="1">
      <alignment horizontal="left"/>
    </xf>
    <xf numFmtId="169" fontId="0" fillId="11" borderId="28" xfId="0" applyNumberFormat="1" applyFill="1" applyBorder="1"/>
    <xf numFmtId="169" fontId="0" fillId="11" borderId="34" xfId="0" applyNumberFormat="1" applyFill="1" applyBorder="1"/>
    <xf numFmtId="0" fontId="143" fillId="0" borderId="0" xfId="0" applyFont="1" applyBorder="1"/>
    <xf numFmtId="49" fontId="16" fillId="11" borderId="4" xfId="0" applyNumberFormat="1" applyFont="1" applyFill="1" applyBorder="1" applyAlignment="1">
      <alignment horizontal="left"/>
    </xf>
    <xf numFmtId="2" fontId="16" fillId="0" borderId="53" xfId="0" applyNumberFormat="1" applyFont="1" applyFill="1" applyBorder="1" applyAlignment="1">
      <alignment horizontal="right"/>
    </xf>
    <xf numFmtId="172" fontId="144" fillId="0" borderId="3" xfId="0" applyNumberFormat="1" applyFont="1" applyBorder="1" applyAlignment="1">
      <alignment horizontal="right"/>
    </xf>
    <xf numFmtId="169" fontId="143" fillId="0" borderId="10" xfId="0" applyNumberFormat="1" applyFont="1" applyFill="1" applyBorder="1"/>
    <xf numFmtId="0" fontId="15" fillId="11" borderId="25" xfId="0" applyFont="1" applyFill="1" applyBorder="1" applyAlignment="1">
      <alignment vertical="center"/>
    </xf>
    <xf numFmtId="0" fontId="0" fillId="11" borderId="26" xfId="0" applyFill="1" applyBorder="1" applyAlignment="1">
      <alignment vertical="center"/>
    </xf>
    <xf numFmtId="0" fontId="0" fillId="11" borderId="26" xfId="0" applyFill="1" applyBorder="1"/>
    <xf numFmtId="0" fontId="0" fillId="11" borderId="36" xfId="0" applyFill="1" applyBorder="1" applyAlignment="1">
      <alignment vertical="center"/>
    </xf>
    <xf numFmtId="2" fontId="16" fillId="0" borderId="8" xfId="0" applyNumberFormat="1" applyFont="1" applyBorder="1" applyAlignment="1">
      <alignment horizontal="right"/>
    </xf>
    <xf numFmtId="172" fontId="0" fillId="0" borderId="28" xfId="0" applyNumberFormat="1" applyFill="1" applyBorder="1"/>
    <xf numFmtId="172" fontId="0" fillId="0" borderId="7" xfId="0" applyNumberFormat="1" applyFill="1" applyBorder="1"/>
    <xf numFmtId="0" fontId="0" fillId="0" borderId="60" xfId="0" applyBorder="1" applyAlignment="1">
      <alignment vertical="center"/>
    </xf>
    <xf numFmtId="172" fontId="0" fillId="11" borderId="151" xfId="0" applyNumberFormat="1" applyFill="1" applyBorder="1" applyAlignment="1">
      <alignment horizontal="right"/>
    </xf>
    <xf numFmtId="172" fontId="143" fillId="11" borderId="8" xfId="0" applyNumberFormat="1" applyFont="1" applyFill="1" applyBorder="1" applyAlignment="1">
      <alignment horizontal="right"/>
    </xf>
    <xf numFmtId="172" fontId="0" fillId="11" borderId="53" xfId="0" applyNumberFormat="1" applyFill="1" applyBorder="1" applyAlignment="1">
      <alignment horizontal="right"/>
    </xf>
    <xf numFmtId="169" fontId="102" fillId="0" borderId="10" xfId="0" applyNumberFormat="1" applyFont="1" applyFill="1" applyBorder="1"/>
    <xf numFmtId="172" fontId="144" fillId="0" borderId="4" xfId="0" applyNumberFormat="1" applyFont="1" applyBorder="1" applyAlignment="1">
      <alignment horizontal="right"/>
    </xf>
    <xf numFmtId="169" fontId="102" fillId="0" borderId="24" xfId="0" applyNumberFormat="1" applyFont="1" applyFill="1" applyBorder="1"/>
    <xf numFmtId="176" fontId="29" fillId="11" borderId="18" xfId="8" applyNumberFormat="1" applyFont="1" applyFill="1" applyBorder="1" applyAlignment="1" applyProtection="1">
      <alignment vertical="center"/>
      <protection locked="0"/>
    </xf>
    <xf numFmtId="168" fontId="29" fillId="11" borderId="18" xfId="8" applyNumberFormat="1" applyFont="1" applyFill="1" applyBorder="1" applyAlignment="1" applyProtection="1">
      <alignment horizontal="right" vertical="center"/>
      <protection locked="0"/>
    </xf>
    <xf numFmtId="176" fontId="29" fillId="11" borderId="14" xfId="8" applyNumberFormat="1" applyFont="1" applyFill="1" applyBorder="1" applyAlignment="1" applyProtection="1">
      <alignment vertical="center"/>
      <protection locked="0"/>
    </xf>
    <xf numFmtId="168" fontId="29" fillId="11" borderId="14" xfId="8" applyNumberFormat="1" applyFont="1" applyFill="1" applyBorder="1" applyAlignment="1" applyProtection="1">
      <alignment horizontal="right" vertical="center"/>
      <protection locked="0"/>
    </xf>
    <xf numFmtId="0" fontId="143" fillId="0" borderId="0" xfId="0" applyFont="1" applyAlignment="1" applyProtection="1">
      <alignment horizontal="center"/>
    </xf>
    <xf numFmtId="0" fontId="143" fillId="0" borderId="7" xfId="0" applyFont="1" applyBorder="1" applyAlignment="1" applyProtection="1">
      <alignment horizontal="center"/>
    </xf>
    <xf numFmtId="2" fontId="102" fillId="0" borderId="151" xfId="0" applyNumberFormat="1" applyFont="1" applyFill="1" applyBorder="1" applyAlignment="1">
      <alignment horizontal="right"/>
    </xf>
    <xf numFmtId="2" fontId="102" fillId="0" borderId="8" xfId="0" applyNumberFormat="1" applyFont="1" applyFill="1" applyBorder="1" applyAlignment="1">
      <alignment horizontal="right"/>
    </xf>
    <xf numFmtId="0" fontId="111" fillId="6" borderId="83" xfId="0" applyFont="1" applyFill="1" applyBorder="1" applyAlignment="1">
      <alignment horizontal="center" vertical="top"/>
    </xf>
    <xf numFmtId="0" fontId="111" fillId="6" borderId="85" xfId="0" applyFont="1" applyFill="1" applyBorder="1" applyAlignment="1">
      <alignment horizontal="center" vertical="top"/>
    </xf>
    <xf numFmtId="0" fontId="111" fillId="6" borderId="86" xfId="0" applyFont="1" applyFill="1" applyBorder="1" applyAlignment="1">
      <alignment horizontal="center" vertical="top"/>
    </xf>
    <xf numFmtId="0" fontId="111" fillId="6" borderId="63" xfId="0" applyFont="1" applyFill="1" applyBorder="1" applyAlignment="1">
      <alignment horizontal="center" vertical="top"/>
    </xf>
    <xf numFmtId="0" fontId="111" fillId="6" borderId="0" xfId="0" applyFont="1" applyFill="1" applyBorder="1" applyAlignment="1">
      <alignment horizontal="center" vertical="top"/>
    </xf>
    <xf numFmtId="0" fontId="111" fillId="6" borderId="64" xfId="0" applyFont="1" applyFill="1" applyBorder="1" applyAlignment="1">
      <alignment horizontal="center" vertical="top"/>
    </xf>
    <xf numFmtId="0" fontId="42" fillId="6" borderId="63" xfId="0" applyFont="1" applyFill="1" applyBorder="1" applyAlignment="1">
      <alignment horizontal="center" vertical="top"/>
    </xf>
    <xf numFmtId="0" fontId="42" fillId="6" borderId="0" xfId="0" applyFont="1" applyFill="1" applyBorder="1" applyAlignment="1">
      <alignment horizontal="center" vertical="top"/>
    </xf>
    <xf numFmtId="0" fontId="42" fillId="6" borderId="64" xfId="0" applyFont="1" applyFill="1" applyBorder="1" applyAlignment="1">
      <alignment horizontal="center" vertical="top"/>
    </xf>
    <xf numFmtId="0" fontId="96" fillId="10" borderId="7" xfId="3" applyFont="1" applyFill="1" applyBorder="1" applyAlignment="1" applyProtection="1">
      <alignment horizontal="center" vertical="center"/>
    </xf>
    <xf numFmtId="0" fontId="122" fillId="0" borderId="0" xfId="0" applyFont="1" applyBorder="1" applyAlignment="1">
      <alignment horizontal="left" wrapText="1"/>
    </xf>
    <xf numFmtId="0" fontId="122" fillId="0" borderId="0" xfId="0" applyFont="1" applyAlignment="1">
      <alignment horizontal="left" wrapText="1"/>
    </xf>
    <xf numFmtId="0" fontId="119" fillId="0" borderId="0" xfId="0" applyFont="1" applyAlignment="1">
      <alignment horizontal="left" wrapText="1"/>
    </xf>
    <xf numFmtId="0" fontId="22" fillId="0" borderId="0" xfId="0" applyFont="1" applyAlignment="1">
      <alignment horizontal="left" wrapText="1"/>
    </xf>
    <xf numFmtId="2" fontId="18" fillId="7" borderId="102" xfId="0" applyNumberFormat="1" applyFont="1" applyFill="1" applyBorder="1" applyAlignment="1">
      <alignment horizontal="center" vertical="center" wrapText="1"/>
    </xf>
    <xf numFmtId="2" fontId="35" fillId="7" borderId="101" xfId="0" applyNumberFormat="1" applyFont="1" applyFill="1" applyBorder="1" applyAlignment="1">
      <alignment horizontal="center" vertical="center" wrapText="1"/>
    </xf>
    <xf numFmtId="2" fontId="35" fillId="7" borderId="103" xfId="0" applyNumberFormat="1" applyFont="1" applyFill="1" applyBorder="1" applyAlignment="1">
      <alignment horizontal="center" vertical="center" wrapText="1"/>
    </xf>
    <xf numFmtId="2" fontId="42" fillId="7" borderId="102" xfId="0" applyNumberFormat="1" applyFont="1" applyFill="1" applyBorder="1" applyAlignment="1">
      <alignment horizontal="center" vertical="center"/>
    </xf>
    <xf numFmtId="2" fontId="42" fillId="7" borderId="101" xfId="0" applyNumberFormat="1" applyFont="1" applyFill="1" applyBorder="1" applyAlignment="1">
      <alignment horizontal="center" vertical="center"/>
    </xf>
    <xf numFmtId="2" fontId="42" fillId="7" borderId="103" xfId="0" applyNumberFormat="1" applyFont="1" applyFill="1" applyBorder="1" applyAlignment="1">
      <alignment horizontal="center" vertical="center"/>
    </xf>
    <xf numFmtId="2" fontId="18" fillId="7" borderId="65" xfId="0" applyNumberFormat="1" applyFont="1" applyFill="1" applyBorder="1" applyAlignment="1">
      <alignment horizontal="center" vertical="center" wrapText="1"/>
    </xf>
    <xf numFmtId="2" fontId="18" fillId="7" borderId="62" xfId="0" applyNumberFormat="1" applyFont="1" applyFill="1" applyBorder="1" applyAlignment="1">
      <alignment horizontal="center" vertical="center" wrapText="1"/>
    </xf>
    <xf numFmtId="2" fontId="18" fillId="7" borderId="66" xfId="0" applyNumberFormat="1" applyFont="1" applyFill="1" applyBorder="1" applyAlignment="1">
      <alignment horizontal="center" vertical="center" wrapText="1"/>
    </xf>
    <xf numFmtId="2" fontId="35" fillId="7" borderId="65" xfId="0" applyNumberFormat="1" applyFont="1" applyFill="1" applyBorder="1" applyAlignment="1">
      <alignment horizontal="center" vertical="center" wrapText="1"/>
    </xf>
    <xf numFmtId="2" fontId="35" fillId="7" borderId="62" xfId="0" applyNumberFormat="1" applyFont="1" applyFill="1" applyBorder="1" applyAlignment="1">
      <alignment horizontal="center" vertical="center" wrapText="1"/>
    </xf>
    <xf numFmtId="2" fontId="35" fillId="7" borderId="102" xfId="0" applyNumberFormat="1" applyFont="1" applyFill="1" applyBorder="1" applyAlignment="1">
      <alignment horizontal="center" vertical="center" wrapText="1"/>
    </xf>
    <xf numFmtId="2" fontId="35" fillId="7" borderId="66" xfId="0" applyNumberFormat="1" applyFont="1" applyFill="1" applyBorder="1" applyAlignment="1">
      <alignment horizontal="center" vertical="center" wrapText="1"/>
    </xf>
    <xf numFmtId="2" fontId="18" fillId="7" borderId="108" xfId="0" applyNumberFormat="1" applyFont="1" applyFill="1" applyBorder="1" applyAlignment="1">
      <alignment horizontal="center" vertical="center" wrapText="1"/>
    </xf>
    <xf numFmtId="2" fontId="35" fillId="7" borderId="94" xfId="0" applyNumberFormat="1" applyFont="1" applyFill="1" applyBorder="1" applyAlignment="1">
      <alignment horizontal="center" vertical="center" wrapText="1"/>
    </xf>
    <xf numFmtId="2" fontId="35" fillId="7" borderId="126" xfId="0" applyNumberFormat="1" applyFont="1" applyFill="1" applyBorder="1" applyAlignment="1">
      <alignment horizontal="center" vertical="center" wrapText="1"/>
    </xf>
    <xf numFmtId="0" fontId="137" fillId="0" borderId="0" xfId="0" applyFont="1" applyAlignment="1">
      <alignment horizontal="left"/>
    </xf>
    <xf numFmtId="0" fontId="138" fillId="0" borderId="0" xfId="0" applyFont="1" applyAlignment="1">
      <alignment horizontal="left" wrapText="1"/>
    </xf>
    <xf numFmtId="0" fontId="138" fillId="0" borderId="0" xfId="0" applyFont="1" applyAlignment="1">
      <alignment horizontal="left" vertical="top" wrapText="1"/>
    </xf>
    <xf numFmtId="0" fontId="0" fillId="0" borderId="102" xfId="0" applyBorder="1" applyAlignment="1">
      <alignment horizontal="center"/>
    </xf>
    <xf numFmtId="0" fontId="0" fillId="0" borderId="101" xfId="0" applyBorder="1" applyAlignment="1">
      <alignment horizontal="center"/>
    </xf>
    <xf numFmtId="0" fontId="0" fillId="0" borderId="103" xfId="0" applyBorder="1" applyAlignment="1">
      <alignment horizontal="center"/>
    </xf>
    <xf numFmtId="0" fontId="102" fillId="0" borderId="0" xfId="0" applyFont="1" applyAlignment="1">
      <alignment horizontal="left" wrapText="1"/>
    </xf>
    <xf numFmtId="0" fontId="43" fillId="2" borderId="3" xfId="0" applyFont="1" applyFill="1" applyBorder="1" applyAlignment="1">
      <alignment horizontal="center"/>
    </xf>
    <xf numFmtId="0" fontId="43" fillId="2" borderId="0" xfId="0" applyFont="1" applyFill="1" applyBorder="1" applyAlignment="1">
      <alignment horizontal="center"/>
    </xf>
    <xf numFmtId="0" fontId="43" fillId="2" borderId="10" xfId="0" applyFont="1" applyFill="1" applyBorder="1" applyAlignment="1">
      <alignment horizontal="center"/>
    </xf>
    <xf numFmtId="0" fontId="15" fillId="21" borderId="5" xfId="0" applyFont="1" applyFill="1" applyBorder="1" applyAlignment="1">
      <alignment horizontal="center" vertical="center"/>
    </xf>
    <xf numFmtId="0" fontId="15" fillId="21" borderId="13" xfId="0" applyFont="1" applyFill="1" applyBorder="1" applyAlignment="1">
      <alignment horizontal="center" vertical="center"/>
    </xf>
    <xf numFmtId="0" fontId="15" fillId="21" borderId="3" xfId="0" applyFont="1" applyFill="1" applyBorder="1" applyAlignment="1">
      <alignment horizontal="center" vertical="center"/>
    </xf>
    <xf numFmtId="0" fontId="15" fillId="21" borderId="10" xfId="0" applyFont="1" applyFill="1" applyBorder="1" applyAlignment="1">
      <alignment horizontal="center" vertical="center"/>
    </xf>
    <xf numFmtId="0" fontId="15" fillId="21" borderId="4" xfId="0" applyFont="1" applyFill="1" applyBorder="1" applyAlignment="1">
      <alignment horizontal="center" vertical="center"/>
    </xf>
    <xf numFmtId="0" fontId="15" fillId="21" borderId="24" xfId="0" applyFont="1" applyFill="1" applyBorder="1" applyAlignment="1">
      <alignment horizontal="center" vertical="center"/>
    </xf>
    <xf numFmtId="0" fontId="15" fillId="21" borderId="6" xfId="0" applyFont="1" applyFill="1" applyBorder="1" applyAlignment="1">
      <alignment horizontal="center" vertical="center"/>
    </xf>
    <xf numFmtId="0" fontId="15" fillId="21" borderId="0" xfId="0" applyFont="1" applyFill="1" applyBorder="1" applyAlignment="1">
      <alignment horizontal="center" vertical="center"/>
    </xf>
    <xf numFmtId="0" fontId="15" fillId="20" borderId="9" xfId="0" applyFont="1" applyFill="1" applyBorder="1" applyAlignment="1">
      <alignment horizontal="center" vertical="center"/>
    </xf>
    <xf numFmtId="0" fontId="15" fillId="20" borderId="8" xfId="0" applyFont="1" applyFill="1" applyBorder="1" applyAlignment="1">
      <alignment horizontal="center" vertical="center"/>
    </xf>
    <xf numFmtId="0" fontId="15" fillId="20" borderId="53" xfId="0" applyFont="1" applyFill="1" applyBorder="1" applyAlignment="1">
      <alignment horizontal="center" vertical="center"/>
    </xf>
    <xf numFmtId="0" fontId="16" fillId="0" borderId="11" xfId="0" applyFont="1"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15" fillId="20" borderId="9" xfId="0" applyFont="1" applyFill="1" applyBorder="1" applyAlignment="1">
      <alignment horizontal="center" wrapText="1"/>
    </xf>
    <xf numFmtId="0" fontId="15" fillId="20" borderId="8" xfId="0" applyFont="1" applyFill="1" applyBorder="1" applyAlignment="1">
      <alignment horizontal="center" wrapText="1"/>
    </xf>
    <xf numFmtId="0" fontId="15" fillId="20" borderId="9" xfId="0" applyFont="1" applyFill="1" applyBorder="1" applyAlignment="1">
      <alignment horizontal="center" vertical="center" wrapText="1"/>
    </xf>
    <xf numFmtId="0" fontId="15" fillId="20" borderId="8" xfId="0" applyFont="1" applyFill="1" applyBorder="1" applyAlignment="1">
      <alignment horizontal="center" vertical="center" wrapText="1"/>
    </xf>
    <xf numFmtId="0" fontId="16" fillId="0" borderId="11" xfId="0" applyFont="1"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16" fillId="20" borderId="0"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6" fillId="20" borderId="10" xfId="0" applyFont="1" applyFill="1" applyBorder="1" applyAlignment="1">
      <alignment horizontal="center" vertical="center" wrapText="1"/>
    </xf>
    <xf numFmtId="0" fontId="16" fillId="20" borderId="24" xfId="0" applyFont="1" applyFill="1" applyBorder="1" applyAlignment="1">
      <alignment horizontal="center" vertical="center" wrapText="1"/>
    </xf>
    <xf numFmtId="0" fontId="20" fillId="20" borderId="5" xfId="0" applyFont="1" applyFill="1" applyBorder="1" applyAlignment="1">
      <alignment horizontal="center" vertical="center" wrapText="1"/>
    </xf>
    <xf numFmtId="0" fontId="20" fillId="20" borderId="6" xfId="0" applyFont="1" applyFill="1" applyBorder="1" applyAlignment="1">
      <alignment horizontal="center" vertical="center" wrapText="1"/>
    </xf>
    <xf numFmtId="0" fontId="20" fillId="20" borderId="30" xfId="0" applyFont="1" applyFill="1" applyBorder="1" applyAlignment="1">
      <alignment horizontal="center" vertical="center" wrapText="1"/>
    </xf>
    <xf numFmtId="0" fontId="15" fillId="4" borderId="5"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13" xfId="0" applyFont="1" applyFill="1" applyBorder="1" applyAlignment="1">
      <alignment horizontal="center" vertical="center"/>
    </xf>
    <xf numFmtId="0" fontId="18" fillId="0" borderId="102" xfId="0" applyFont="1" applyFill="1" applyBorder="1" applyAlignment="1" applyProtection="1">
      <alignment horizontal="center" vertical="center"/>
      <protection locked="0"/>
    </xf>
    <xf numFmtId="0" fontId="18" fillId="0" borderId="101" xfId="0" applyFont="1" applyFill="1" applyBorder="1" applyAlignment="1" applyProtection="1">
      <alignment horizontal="center" vertical="center"/>
      <protection locked="0"/>
    </xf>
    <xf numFmtId="0" fontId="15" fillId="0" borderId="30" xfId="0" applyFont="1" applyBorder="1" applyAlignment="1">
      <alignment horizontal="center" vertical="center"/>
    </xf>
    <xf numFmtId="0" fontId="15" fillId="0" borderId="31" xfId="0" applyFont="1" applyBorder="1" applyAlignment="1">
      <alignment horizontal="center" vertical="center"/>
    </xf>
    <xf numFmtId="0" fontId="20" fillId="0" borderId="0" xfId="0" applyFont="1" applyBorder="1" applyAlignment="1">
      <alignment horizontal="right" vertical="center"/>
    </xf>
    <xf numFmtId="0" fontId="20" fillId="0" borderId="10" xfId="0" applyFont="1" applyBorder="1" applyAlignment="1">
      <alignment horizontal="right" vertical="center"/>
    </xf>
    <xf numFmtId="0" fontId="115" fillId="0" borderId="0" xfId="0" applyFont="1" applyBorder="1" applyAlignment="1">
      <alignment horizontal="center" vertical="top"/>
    </xf>
    <xf numFmtId="0" fontId="23" fillId="20" borderId="4" xfId="0" applyFont="1" applyFill="1" applyBorder="1" applyAlignment="1">
      <alignment horizontal="left" vertical="top" wrapText="1"/>
    </xf>
    <xf numFmtId="0" fontId="23" fillId="20" borderId="7" xfId="0" applyFont="1" applyFill="1" applyBorder="1" applyAlignment="1">
      <alignment horizontal="left" vertical="top" wrapText="1"/>
    </xf>
    <xf numFmtId="0" fontId="23" fillId="20" borderId="24" xfId="0" applyFont="1" applyFill="1" applyBorder="1" applyAlignment="1">
      <alignment horizontal="left" vertical="top" wrapText="1"/>
    </xf>
    <xf numFmtId="0" fontId="109" fillId="29" borderId="63" xfId="3" applyFont="1" applyFill="1" applyBorder="1" applyAlignment="1" applyProtection="1">
      <alignment horizontal="left" vertical="center" wrapText="1"/>
    </xf>
    <xf numFmtId="0" fontId="109" fillId="29" borderId="0" xfId="3" applyFont="1" applyFill="1" applyBorder="1" applyAlignment="1" applyProtection="1">
      <alignment horizontal="left" vertical="center" wrapText="1"/>
    </xf>
    <xf numFmtId="0" fontId="109" fillId="29" borderId="64" xfId="3" applyFont="1" applyFill="1" applyBorder="1" applyAlignment="1" applyProtection="1">
      <alignment horizontal="left" vertical="center" wrapText="1"/>
    </xf>
    <xf numFmtId="0" fontId="109" fillId="29" borderId="65" xfId="3" applyFont="1" applyFill="1" applyBorder="1" applyAlignment="1" applyProtection="1">
      <alignment horizontal="left" vertical="center" wrapText="1"/>
    </xf>
    <xf numFmtId="0" fontId="109" fillId="29" borderId="62" xfId="3" applyFont="1" applyFill="1" applyBorder="1" applyAlignment="1" applyProtection="1">
      <alignment horizontal="left" vertical="center" wrapText="1"/>
    </xf>
    <xf numFmtId="0" fontId="109" fillId="29" borderId="66" xfId="3" applyFont="1" applyFill="1" applyBorder="1" applyAlignment="1" applyProtection="1">
      <alignment horizontal="left" vertical="center" wrapText="1"/>
    </xf>
    <xf numFmtId="0" fontId="109" fillId="0" borderId="83" xfId="0" applyFont="1" applyBorder="1" applyAlignment="1">
      <alignment horizontal="left" vertical="center" wrapText="1"/>
    </xf>
    <xf numFmtId="0" fontId="109" fillId="0" borderId="85" xfId="0" applyFont="1" applyBorder="1" applyAlignment="1">
      <alignment horizontal="left" vertical="center" wrapText="1"/>
    </xf>
    <xf numFmtId="0" fontId="109" fillId="0" borderId="127" xfId="0" applyFont="1" applyBorder="1" applyAlignment="1">
      <alignment horizontal="left" vertical="center" wrapText="1"/>
    </xf>
    <xf numFmtId="0" fontId="22" fillId="3" borderId="3" xfId="0" applyFont="1" applyFill="1" applyBorder="1" applyAlignment="1" applyProtection="1">
      <alignment horizontal="left" vertical="top" wrapText="1"/>
      <protection locked="0"/>
    </xf>
    <xf numFmtId="0" fontId="22" fillId="3" borderId="0" xfId="0" applyFont="1" applyFill="1" applyBorder="1" applyAlignment="1" applyProtection="1">
      <alignment horizontal="left" vertical="top" wrapText="1"/>
      <protection locked="0"/>
    </xf>
    <xf numFmtId="0" fontId="22" fillId="3" borderId="10" xfId="0" applyFont="1" applyFill="1" applyBorder="1" applyAlignment="1" applyProtection="1">
      <alignment horizontal="left" vertical="top" wrapText="1"/>
      <protection locked="0"/>
    </xf>
    <xf numFmtId="0" fontId="20" fillId="20" borderId="7" xfId="0" applyFont="1" applyFill="1" applyBorder="1" applyAlignment="1">
      <alignment horizontal="left" vertical="top" wrapText="1"/>
    </xf>
    <xf numFmtId="0" fontId="20" fillId="20" borderId="24" xfId="0" applyFont="1" applyFill="1" applyBorder="1" applyAlignment="1">
      <alignment horizontal="left" vertical="top" wrapText="1"/>
    </xf>
    <xf numFmtId="0" fontId="22" fillId="0" borderId="0" xfId="0" applyFont="1" applyBorder="1" applyAlignment="1">
      <alignment horizontal="left" vertical="top" wrapText="1"/>
    </xf>
    <xf numFmtId="0" fontId="109" fillId="29" borderId="63" xfId="3" applyFont="1" applyFill="1" applyBorder="1" applyAlignment="1" applyProtection="1">
      <alignment horizontal="left" vertical="center"/>
    </xf>
    <xf numFmtId="0" fontId="109" fillId="29" borderId="0" xfId="3" applyFont="1" applyFill="1" applyBorder="1" applyAlignment="1" applyProtection="1">
      <alignment horizontal="left" vertical="center"/>
    </xf>
    <xf numFmtId="0" fontId="18" fillId="29" borderId="63" xfId="0" applyFont="1" applyFill="1" applyBorder="1" applyAlignment="1">
      <alignment horizontal="left" vertical="top" wrapText="1"/>
    </xf>
    <xf numFmtId="0" fontId="18" fillId="29" borderId="0" xfId="0" applyFont="1" applyFill="1" applyBorder="1" applyAlignment="1">
      <alignment horizontal="left" vertical="top" wrapText="1"/>
    </xf>
    <xf numFmtId="0" fontId="18" fillId="29" borderId="64" xfId="0" applyFont="1" applyFill="1" applyBorder="1" applyAlignment="1">
      <alignment horizontal="left" vertical="top" wrapText="1"/>
    </xf>
    <xf numFmtId="0" fontId="62" fillId="20" borderId="5" xfId="0" applyFont="1" applyFill="1" applyBorder="1" applyAlignment="1">
      <alignment horizontal="left" vertical="center"/>
    </xf>
    <xf numFmtId="0" fontId="62" fillId="20" borderId="6" xfId="0" applyFont="1" applyFill="1" applyBorder="1" applyAlignment="1">
      <alignment horizontal="left" vertical="center"/>
    </xf>
    <xf numFmtId="0" fontId="62" fillId="20" borderId="13" xfId="0" applyFont="1" applyFill="1" applyBorder="1" applyAlignment="1">
      <alignment horizontal="left" vertical="center"/>
    </xf>
    <xf numFmtId="0" fontId="0" fillId="30" borderId="5" xfId="0" applyFill="1" applyBorder="1" applyAlignment="1">
      <alignment horizontal="left" wrapText="1"/>
    </xf>
    <xf numFmtId="0" fontId="0" fillId="30" borderId="13" xfId="0" applyFill="1" applyBorder="1" applyAlignment="1">
      <alignment horizontal="left" wrapText="1"/>
    </xf>
    <xf numFmtId="0" fontId="0" fillId="30" borderId="3" xfId="0" applyFill="1" applyBorder="1" applyAlignment="1">
      <alignment horizontal="left" wrapText="1"/>
    </xf>
    <xf numFmtId="0" fontId="0" fillId="30" borderId="10" xfId="0" applyFill="1" applyBorder="1" applyAlignment="1">
      <alignment horizontal="left" wrapText="1"/>
    </xf>
    <xf numFmtId="0" fontId="0" fillId="30" borderId="4" xfId="0" applyFill="1" applyBorder="1" applyAlignment="1">
      <alignment horizontal="left" wrapText="1"/>
    </xf>
    <xf numFmtId="0" fontId="0" fillId="30" borderId="24" xfId="0" applyFill="1" applyBorder="1" applyAlignment="1">
      <alignment horizontal="left" wrapText="1"/>
    </xf>
    <xf numFmtId="0" fontId="18" fillId="20" borderId="5" xfId="0" applyFont="1" applyFill="1" applyBorder="1" applyAlignment="1">
      <alignment horizontal="left" vertical="top"/>
    </xf>
    <xf numFmtId="0" fontId="18" fillId="20" borderId="6" xfId="0" applyFont="1" applyFill="1" applyBorder="1" applyAlignment="1">
      <alignment horizontal="left" vertical="top"/>
    </xf>
    <xf numFmtId="0" fontId="18" fillId="20" borderId="13" xfId="0" applyFont="1" applyFill="1" applyBorder="1" applyAlignment="1">
      <alignment horizontal="left" vertical="top"/>
    </xf>
    <xf numFmtId="0" fontId="18" fillId="20" borderId="4" xfId="0" applyFont="1" applyFill="1" applyBorder="1" applyAlignment="1">
      <alignment horizontal="left" vertical="top"/>
    </xf>
    <xf numFmtId="0" fontId="18" fillId="20" borderId="7" xfId="0" applyFont="1" applyFill="1" applyBorder="1" applyAlignment="1">
      <alignment horizontal="left" vertical="top"/>
    </xf>
    <xf numFmtId="0" fontId="18" fillId="20" borderId="24" xfId="0" applyFont="1" applyFill="1" applyBorder="1" applyAlignment="1">
      <alignment horizontal="left" vertical="top"/>
    </xf>
    <xf numFmtId="0" fontId="110" fillId="0" borderId="146" xfId="0" applyFont="1" applyBorder="1" applyAlignment="1">
      <alignment horizontal="left" wrapText="1"/>
    </xf>
    <xf numFmtId="0" fontId="22" fillId="0" borderId="5" xfId="0" applyFont="1" applyBorder="1" applyAlignment="1">
      <alignment horizontal="left" vertical="top" wrapText="1"/>
    </xf>
    <xf numFmtId="0" fontId="22" fillId="0" borderId="13" xfId="0" applyFont="1" applyBorder="1" applyAlignment="1">
      <alignment horizontal="left" vertical="top" wrapText="1"/>
    </xf>
    <xf numFmtId="0" fontId="22" fillId="0" borderId="4" xfId="0" applyFont="1" applyBorder="1" applyAlignment="1">
      <alignment horizontal="left" vertical="top" wrapText="1"/>
    </xf>
    <xf numFmtId="0" fontId="22" fillId="0" borderId="24" xfId="0" applyFont="1" applyBorder="1" applyAlignment="1">
      <alignment horizontal="left" vertical="top" wrapText="1"/>
    </xf>
    <xf numFmtId="0" fontId="22" fillId="0" borderId="5" xfId="0" applyFont="1" applyBorder="1" applyAlignment="1">
      <alignment horizontal="left" vertical="top"/>
    </xf>
    <xf numFmtId="0" fontId="22" fillId="0" borderId="13" xfId="0" applyFont="1" applyBorder="1" applyAlignment="1">
      <alignment horizontal="left" vertical="top"/>
    </xf>
    <xf numFmtId="0" fontId="22" fillId="0" borderId="4" xfId="0" applyFont="1" applyBorder="1" applyAlignment="1">
      <alignment horizontal="left" vertical="top"/>
    </xf>
    <xf numFmtId="0" fontId="22" fillId="0" borderId="24" xfId="0" applyFont="1" applyBorder="1" applyAlignment="1">
      <alignment horizontal="left" vertical="top"/>
    </xf>
    <xf numFmtId="0" fontId="28" fillId="20" borderId="83" xfId="0" applyFont="1" applyFill="1" applyBorder="1" applyAlignment="1" applyProtection="1">
      <alignment horizontal="left" vertical="top"/>
    </xf>
    <xf numFmtId="0" fontId="28" fillId="20" borderId="127" xfId="0" applyFont="1" applyFill="1" applyBorder="1" applyAlignment="1" applyProtection="1">
      <alignment horizontal="left" vertical="top"/>
    </xf>
    <xf numFmtId="0" fontId="28" fillId="20" borderId="63" xfId="0" applyFont="1" applyFill="1" applyBorder="1" applyAlignment="1" applyProtection="1">
      <alignment horizontal="left" vertical="top"/>
    </xf>
    <xf numFmtId="0" fontId="28" fillId="20" borderId="10" xfId="0" applyFont="1" applyFill="1" applyBorder="1" applyAlignment="1" applyProtection="1">
      <alignment horizontal="left" vertical="top"/>
    </xf>
    <xf numFmtId="0" fontId="22" fillId="20" borderId="93" xfId="0" applyFont="1" applyFill="1" applyBorder="1" applyAlignment="1" applyProtection="1">
      <alignment horizontal="center" wrapText="1"/>
    </xf>
    <xf numFmtId="0" fontId="22" fillId="20" borderId="67" xfId="0" applyFont="1" applyFill="1" applyBorder="1" applyAlignment="1" applyProtection="1">
      <alignment horizontal="center" wrapText="1"/>
    </xf>
    <xf numFmtId="0" fontId="22" fillId="20" borderId="126" xfId="0" applyFont="1" applyFill="1" applyBorder="1" applyAlignment="1" applyProtection="1">
      <alignment horizontal="center" wrapText="1"/>
    </xf>
    <xf numFmtId="0" fontId="18" fillId="20" borderId="96" xfId="0" applyFont="1" applyFill="1" applyBorder="1" applyAlignment="1" applyProtection="1">
      <alignment horizontal="center" vertical="center"/>
    </xf>
    <xf numFmtId="0" fontId="18" fillId="20" borderId="123" xfId="0" applyFont="1" applyFill="1" applyBorder="1" applyAlignment="1" applyProtection="1">
      <alignment horizontal="center" vertical="center"/>
    </xf>
    <xf numFmtId="0" fontId="18" fillId="20" borderId="105" xfId="0" applyFont="1" applyFill="1" applyBorder="1" applyAlignment="1" applyProtection="1">
      <alignment horizontal="center" vertical="center"/>
    </xf>
    <xf numFmtId="0" fontId="22" fillId="20" borderId="160" xfId="0" applyFont="1" applyFill="1" applyBorder="1" applyAlignment="1" applyProtection="1">
      <alignment horizontal="center" wrapText="1"/>
    </xf>
    <xf numFmtId="0" fontId="22" fillId="20" borderId="163" xfId="0" applyFont="1" applyFill="1" applyBorder="1" applyAlignment="1" applyProtection="1">
      <alignment horizontal="center" wrapText="1"/>
    </xf>
    <xf numFmtId="0" fontId="22" fillId="20" borderId="164" xfId="0" applyFont="1" applyFill="1" applyBorder="1" applyAlignment="1" applyProtection="1">
      <alignment horizontal="center" wrapText="1"/>
    </xf>
    <xf numFmtId="0" fontId="22" fillId="20" borderId="3" xfId="0" applyFont="1" applyFill="1" applyBorder="1" applyAlignment="1" applyProtection="1">
      <alignment horizontal="center" vertical="center"/>
    </xf>
    <xf numFmtId="0" fontId="22" fillId="20" borderId="0" xfId="0" applyFont="1" applyFill="1" applyBorder="1" applyAlignment="1" applyProtection="1">
      <alignment horizontal="center" vertical="center"/>
    </xf>
    <xf numFmtId="0" fontId="22" fillId="20" borderId="10" xfId="0" applyFont="1" applyFill="1" applyBorder="1" applyAlignment="1" applyProtection="1">
      <alignment horizontal="center" vertical="center"/>
    </xf>
    <xf numFmtId="0" fontId="28" fillId="20" borderId="83" xfId="0" applyFont="1" applyFill="1" applyBorder="1" applyAlignment="1">
      <alignment horizontal="left" vertical="top"/>
    </xf>
    <xf numFmtId="0" fontId="28" fillId="20" borderId="127" xfId="0" applyFont="1" applyFill="1" applyBorder="1" applyAlignment="1">
      <alignment horizontal="left" vertical="top"/>
    </xf>
    <xf numFmtId="0" fontId="28" fillId="20" borderId="63" xfId="0" applyFont="1" applyFill="1" applyBorder="1" applyAlignment="1">
      <alignment horizontal="left" vertical="top"/>
    </xf>
    <xf numFmtId="0" fontId="28" fillId="20" borderId="10" xfId="0" applyFont="1" applyFill="1" applyBorder="1" applyAlignment="1">
      <alignment horizontal="left" vertical="top"/>
    </xf>
    <xf numFmtId="0" fontId="22" fillId="0" borderId="5" xfId="9" applyFont="1" applyBorder="1" applyAlignment="1" applyProtection="1">
      <alignment horizontal="left" vertical="top" wrapText="1"/>
    </xf>
    <xf numFmtId="0" fontId="22" fillId="0" borderId="6" xfId="9" applyFont="1" applyBorder="1" applyAlignment="1" applyProtection="1">
      <alignment horizontal="left" vertical="top" wrapText="1"/>
    </xf>
    <xf numFmtId="0" fontId="22" fillId="0" borderId="13" xfId="9" applyFont="1" applyBorder="1" applyAlignment="1" applyProtection="1">
      <alignment horizontal="left" vertical="top" wrapText="1"/>
    </xf>
    <xf numFmtId="0" fontId="22" fillId="0" borderId="4" xfId="9" applyFont="1" applyBorder="1" applyAlignment="1" applyProtection="1">
      <alignment horizontal="left" vertical="top" wrapText="1"/>
    </xf>
    <xf numFmtId="0" fontId="22" fillId="0" borderId="7" xfId="9" applyFont="1" applyBorder="1" applyAlignment="1" applyProtection="1">
      <alignment horizontal="left" vertical="top" wrapText="1"/>
    </xf>
    <xf numFmtId="0" fontId="22" fillId="0" borderId="24" xfId="9" applyFont="1" applyBorder="1" applyAlignment="1" applyProtection="1">
      <alignment horizontal="left" vertical="top" wrapText="1"/>
    </xf>
    <xf numFmtId="0" fontId="20" fillId="0" borderId="150" xfId="0" applyFont="1" applyBorder="1" applyAlignment="1">
      <alignment horizontal="center"/>
    </xf>
    <xf numFmtId="0" fontId="20" fillId="0" borderId="6" xfId="0" applyFont="1" applyBorder="1" applyAlignment="1">
      <alignment horizontal="center"/>
    </xf>
    <xf numFmtId="0" fontId="20" fillId="0" borderId="140" xfId="0" applyFont="1" applyBorder="1" applyAlignment="1">
      <alignment horizontal="center"/>
    </xf>
    <xf numFmtId="0" fontId="1" fillId="0" borderId="0" xfId="0" applyFont="1" applyAlignment="1">
      <alignment horizontal="left" vertical="center" wrapText="1"/>
    </xf>
    <xf numFmtId="0" fontId="5" fillId="0" borderId="0" xfId="0" applyFont="1" applyAlignment="1">
      <alignment horizontal="left" vertical="center" wrapText="1"/>
    </xf>
    <xf numFmtId="0" fontId="20" fillId="25" borderId="3" xfId="0" applyFont="1" applyFill="1" applyBorder="1" applyAlignment="1">
      <alignment horizontal="left" vertical="top"/>
    </xf>
    <xf numFmtId="0" fontId="20" fillId="25" borderId="0" xfId="0" applyFont="1" applyFill="1" applyBorder="1" applyAlignment="1">
      <alignment horizontal="left" vertical="top"/>
    </xf>
    <xf numFmtId="0" fontId="20" fillId="20" borderId="11" xfId="0" applyFont="1" applyFill="1" applyBorder="1" applyAlignment="1">
      <alignment horizontal="center" vertical="top"/>
    </xf>
    <xf numFmtId="0" fontId="20" fillId="20" borderId="30" xfId="0" applyFont="1" applyFill="1" applyBorder="1" applyAlignment="1">
      <alignment horizontal="center" vertical="top"/>
    </xf>
    <xf numFmtId="0" fontId="20" fillId="20" borderId="31" xfId="0" applyFont="1" applyFill="1" applyBorder="1" applyAlignment="1">
      <alignment horizontal="center" vertical="top"/>
    </xf>
    <xf numFmtId="0" fontId="20" fillId="0" borderId="150" xfId="0" applyFont="1" applyBorder="1" applyAlignment="1">
      <alignment horizontal="center" wrapText="1"/>
    </xf>
    <xf numFmtId="0" fontId="20" fillId="0" borderId="13" xfId="0" applyFont="1" applyBorder="1" applyAlignment="1">
      <alignment horizontal="center" wrapText="1"/>
    </xf>
    <xf numFmtId="0" fontId="20" fillId="0" borderId="156" xfId="0" applyFont="1" applyBorder="1" applyAlignment="1">
      <alignment horizontal="center" wrapText="1"/>
    </xf>
    <xf numFmtId="0" fontId="20" fillId="0" borderId="24" xfId="0" applyFont="1" applyBorder="1" applyAlignment="1">
      <alignment horizontal="center" wrapText="1"/>
    </xf>
    <xf numFmtId="0" fontId="96" fillId="10" borderId="0" xfId="3" applyFont="1" applyFill="1" applyBorder="1" applyAlignment="1" applyProtection="1">
      <alignment horizontal="center" vertical="center"/>
    </xf>
    <xf numFmtId="0" fontId="20" fillId="0" borderId="142" xfId="0" applyFont="1" applyBorder="1" applyAlignment="1">
      <alignment horizontal="center"/>
    </xf>
    <xf numFmtId="0" fontId="20" fillId="0" borderId="0" xfId="0" applyFont="1" applyBorder="1" applyAlignment="1">
      <alignment horizontal="center"/>
    </xf>
    <xf numFmtId="0" fontId="20" fillId="0" borderId="116" xfId="0" applyFont="1" applyBorder="1" applyAlignment="1">
      <alignment horizontal="center"/>
    </xf>
    <xf numFmtId="0" fontId="20" fillId="0" borderId="0" xfId="0" applyFont="1" applyBorder="1" applyAlignment="1">
      <alignment horizontal="left" vertical="top" wrapText="1"/>
    </xf>
    <xf numFmtId="0" fontId="20" fillId="0" borderId="10" xfId="0" applyFont="1" applyBorder="1" applyAlignment="1">
      <alignment horizontal="left" vertical="top" wrapText="1"/>
    </xf>
    <xf numFmtId="0" fontId="20" fillId="0" borderId="7" xfId="0" applyFont="1" applyBorder="1" applyAlignment="1">
      <alignment horizontal="left" vertical="top" wrapText="1"/>
    </xf>
    <xf numFmtId="0" fontId="20" fillId="0" borderId="24" xfId="0" applyFont="1" applyBorder="1" applyAlignment="1">
      <alignment horizontal="left" vertical="top" wrapText="1"/>
    </xf>
    <xf numFmtId="0" fontId="22" fillId="0" borderId="6" xfId="0" applyFont="1" applyBorder="1" applyAlignment="1">
      <alignment horizontal="left" vertical="top" wrapText="1"/>
    </xf>
    <xf numFmtId="0" fontId="22" fillId="0" borderId="3" xfId="0" applyFont="1" applyBorder="1" applyAlignment="1">
      <alignment horizontal="left" vertical="top" wrapText="1"/>
    </xf>
    <xf numFmtId="0" fontId="22" fillId="0" borderId="10" xfId="0" applyFont="1" applyBorder="1" applyAlignment="1">
      <alignment horizontal="left" vertical="top" wrapText="1"/>
    </xf>
    <xf numFmtId="0" fontId="22" fillId="0" borderId="7" xfId="0" applyFont="1" applyBorder="1" applyAlignment="1">
      <alignment horizontal="left" vertical="top" wrapText="1"/>
    </xf>
    <xf numFmtId="0" fontId="31" fillId="0" borderId="163" xfId="0" applyFont="1" applyFill="1" applyBorder="1" applyAlignment="1" applyProtection="1">
      <alignment horizontal="center" vertical="center" wrapText="1"/>
    </xf>
    <xf numFmtId="0" fontId="31" fillId="0" borderId="164" xfId="0" applyFont="1" applyFill="1" applyBorder="1" applyAlignment="1" applyProtection="1">
      <alignment horizontal="center" vertical="center" wrapText="1"/>
    </xf>
    <xf numFmtId="0" fontId="29" fillId="0" borderId="144" xfId="0" applyFont="1" applyFill="1" applyBorder="1" applyAlignment="1" applyProtection="1">
      <alignment horizontal="center" vertical="center" wrapText="1"/>
    </xf>
    <xf numFmtId="0" fontId="29" fillId="0" borderId="45" xfId="0" applyFont="1" applyFill="1" applyBorder="1" applyAlignment="1" applyProtection="1">
      <alignment horizontal="center" vertical="center" wrapText="1"/>
    </xf>
    <xf numFmtId="0" fontId="23" fillId="0" borderId="0" xfId="0" applyFont="1" applyBorder="1" applyAlignment="1">
      <alignment horizontal="left" vertical="top" wrapText="1"/>
    </xf>
    <xf numFmtId="0" fontId="28" fillId="0" borderId="6" xfId="0" applyFont="1" applyFill="1" applyBorder="1" applyAlignment="1" applyProtection="1">
      <alignment horizontal="right" vertical="top"/>
    </xf>
    <xf numFmtId="0" fontId="28" fillId="0" borderId="13" xfId="0" applyFont="1" applyFill="1" applyBorder="1" applyAlignment="1" applyProtection="1">
      <alignment horizontal="right" vertical="top"/>
    </xf>
    <xf numFmtId="0" fontId="14" fillId="5" borderId="7" xfId="0" applyFont="1" applyFill="1" applyBorder="1" applyAlignment="1" applyProtection="1">
      <alignment horizontal="left"/>
      <protection locked="0"/>
    </xf>
    <xf numFmtId="0" fontId="29" fillId="5" borderId="7" xfId="0" applyFont="1" applyFill="1" applyBorder="1" applyAlignment="1" applyProtection="1">
      <alignment horizontal="left"/>
      <protection locked="0"/>
    </xf>
    <xf numFmtId="0" fontId="29" fillId="5" borderId="24" xfId="0" applyFont="1" applyFill="1" applyBorder="1" applyAlignment="1" applyProtection="1">
      <alignment horizontal="left"/>
      <protection locked="0"/>
    </xf>
    <xf numFmtId="167" fontId="32" fillId="7" borderId="4" xfId="0" applyNumberFormat="1" applyFont="1" applyFill="1" applyBorder="1" applyAlignment="1" applyProtection="1">
      <alignment horizontal="center" vertical="center"/>
    </xf>
    <xf numFmtId="167" fontId="32" fillId="7" borderId="24" xfId="0" applyNumberFormat="1" applyFont="1" applyFill="1" applyBorder="1" applyAlignment="1" applyProtection="1">
      <alignment horizontal="center" vertical="center"/>
    </xf>
    <xf numFmtId="0" fontId="96" fillId="10" borderId="4" xfId="3" applyFont="1" applyFill="1" applyBorder="1" applyAlignment="1" applyProtection="1">
      <alignment horizontal="left" vertical="center"/>
    </xf>
    <xf numFmtId="0" fontId="96" fillId="10" borderId="7" xfId="3" applyFont="1" applyFill="1" applyBorder="1" applyAlignment="1" applyProtection="1">
      <alignment horizontal="left" vertical="center"/>
    </xf>
    <xf numFmtId="0" fontId="43" fillId="4" borderId="112" xfId="0" applyFont="1" applyFill="1" applyBorder="1" applyAlignment="1" applyProtection="1">
      <alignment horizontal="center" vertical="center" textRotation="90"/>
      <protection locked="0"/>
    </xf>
    <xf numFmtId="0" fontId="43" fillId="4" borderId="67" xfId="0" applyFont="1" applyFill="1" applyBorder="1" applyAlignment="1" applyProtection="1">
      <alignment horizontal="center" vertical="center" textRotation="90"/>
      <protection locked="0"/>
    </xf>
    <xf numFmtId="0" fontId="43" fillId="4" borderId="3" xfId="0" applyFont="1" applyFill="1" applyBorder="1" applyAlignment="1" applyProtection="1">
      <alignment horizontal="center" vertical="center" textRotation="90"/>
      <protection locked="0"/>
    </xf>
    <xf numFmtId="0" fontId="43" fillId="4" borderId="71" xfId="0" applyFont="1" applyFill="1" applyBorder="1" applyAlignment="1" applyProtection="1">
      <alignment horizontal="center" vertical="center" textRotation="90"/>
      <protection locked="0"/>
    </xf>
    <xf numFmtId="0" fontId="64" fillId="0" borderId="112" xfId="0" applyFont="1" applyBorder="1" applyAlignment="1">
      <alignment horizontal="center" vertical="center" textRotation="90"/>
    </xf>
    <xf numFmtId="0" fontId="64" fillId="0" borderId="67" xfId="0" applyFont="1" applyBorder="1" applyAlignment="1">
      <alignment horizontal="center" vertical="center" textRotation="90"/>
    </xf>
    <xf numFmtId="0" fontId="64" fillId="0" borderId="71" xfId="0" applyFont="1" applyBorder="1" applyAlignment="1">
      <alignment horizontal="center" vertical="center" textRotation="90"/>
    </xf>
    <xf numFmtId="0" fontId="0" fillId="0" borderId="67" xfId="0" applyBorder="1" applyAlignment="1">
      <alignment horizontal="center" vertical="center" textRotation="90"/>
    </xf>
    <xf numFmtId="0" fontId="0" fillId="0" borderId="71" xfId="0" applyBorder="1" applyAlignment="1">
      <alignment horizontal="center" vertical="center" textRotation="90"/>
    </xf>
    <xf numFmtId="0" fontId="19" fillId="7" borderId="5" xfId="8" applyFont="1" applyFill="1" applyBorder="1" applyAlignment="1" applyProtection="1">
      <alignment horizontal="left" vertical="center"/>
    </xf>
    <xf numFmtId="0" fontId="19" fillId="7" borderId="6" xfId="8" applyFont="1" applyFill="1" applyBorder="1" applyAlignment="1" applyProtection="1">
      <alignment horizontal="left" vertical="center"/>
    </xf>
    <xf numFmtId="0" fontId="19" fillId="7" borderId="3" xfId="8" applyFont="1" applyFill="1" applyBorder="1" applyAlignment="1" applyProtection="1">
      <alignment horizontal="left" vertical="center"/>
    </xf>
    <xf numFmtId="0" fontId="19" fillId="7" borderId="0" xfId="8" applyFont="1" applyFill="1" applyBorder="1" applyAlignment="1" applyProtection="1">
      <alignment horizontal="left" vertical="center"/>
    </xf>
    <xf numFmtId="0" fontId="16" fillId="0" borderId="63" xfId="0" applyFont="1" applyBorder="1" applyAlignment="1">
      <alignment horizontal="left" wrapText="1"/>
    </xf>
    <xf numFmtId="0" fontId="29" fillId="7" borderId="62" xfId="0" applyFont="1" applyFill="1" applyBorder="1" applyAlignment="1">
      <alignment horizontal="left" wrapText="1"/>
    </xf>
    <xf numFmtId="0" fontId="29" fillId="7" borderId="66" xfId="0" applyFont="1" applyFill="1" applyBorder="1" applyAlignment="1">
      <alignment horizontal="left" wrapText="1"/>
    </xf>
    <xf numFmtId="0" fontId="75" fillId="0" borderId="0" xfId="0" applyFont="1" applyAlignment="1">
      <alignment horizontal="center" textRotation="90"/>
    </xf>
    <xf numFmtId="0" fontId="75" fillId="0" borderId="7" xfId="0" applyFont="1" applyBorder="1" applyAlignment="1">
      <alignment horizontal="center" textRotation="90"/>
    </xf>
    <xf numFmtId="0" fontId="76" fillId="0" borderId="110" xfId="0" applyFont="1" applyBorder="1" applyAlignment="1">
      <alignment horizontal="center" vertical="center" textRotation="90"/>
    </xf>
    <xf numFmtId="0" fontId="76" fillId="0" borderId="3" xfId="0" applyFont="1" applyBorder="1" applyAlignment="1">
      <alignment horizontal="center" vertical="center" textRotation="90"/>
    </xf>
    <xf numFmtId="0" fontId="77" fillId="4" borderId="3" xfId="0" applyFont="1" applyFill="1" applyBorder="1" applyAlignment="1">
      <alignment horizontal="center" vertical="center"/>
    </xf>
    <xf numFmtId="0" fontId="77" fillId="4" borderId="4" xfId="0" applyFont="1" applyFill="1" applyBorder="1" applyAlignment="1">
      <alignment horizontal="center" vertical="center"/>
    </xf>
    <xf numFmtId="14" fontId="22" fillId="0" borderId="62" xfId="0" applyNumberFormat="1" applyFont="1" applyBorder="1" applyAlignment="1">
      <alignment horizontal="left" vertical="top"/>
    </xf>
    <xf numFmtId="0" fontId="2" fillId="5" borderId="7" xfId="0" applyFont="1" applyFill="1" applyBorder="1" applyAlignment="1" applyProtection="1">
      <alignment horizontal="left"/>
      <protection locked="0"/>
    </xf>
    <xf numFmtId="14" fontId="22" fillId="0" borderId="62" xfId="0" applyNumberFormat="1" applyFont="1" applyBorder="1" applyAlignment="1">
      <alignment horizontal="center" vertical="top"/>
    </xf>
    <xf numFmtId="0" fontId="1" fillId="5" borderId="7" xfId="0" applyFont="1" applyFill="1" applyBorder="1" applyAlignment="1" applyProtection="1">
      <alignment horizontal="left"/>
      <protection locked="0"/>
    </xf>
    <xf numFmtId="0" fontId="19" fillId="0" borderId="6" xfId="0" applyFont="1" applyFill="1" applyBorder="1" applyAlignment="1" applyProtection="1">
      <alignment horizontal="left"/>
    </xf>
    <xf numFmtId="0" fontId="19" fillId="0" borderId="13" xfId="0" applyFont="1" applyFill="1" applyBorder="1" applyAlignment="1" applyProtection="1">
      <alignment horizontal="left"/>
    </xf>
    <xf numFmtId="0" fontId="16" fillId="5" borderId="7" xfId="0" applyFont="1"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5" borderId="24" xfId="0" applyFill="1" applyBorder="1" applyAlignment="1" applyProtection="1">
      <alignment horizontal="left" wrapText="1"/>
      <protection locked="0"/>
    </xf>
    <xf numFmtId="0" fontId="16" fillId="0" borderId="38" xfId="0" applyFont="1" applyBorder="1" applyAlignment="1">
      <alignment horizontal="left" vertical="top" wrapText="1"/>
    </xf>
    <xf numFmtId="0" fontId="16" fillId="0" borderId="34" xfId="0" applyFont="1" applyBorder="1" applyAlignment="1">
      <alignment horizontal="left" vertical="top" wrapText="1"/>
    </xf>
    <xf numFmtId="0" fontId="16" fillId="0" borderId="18" xfId="0" applyFont="1" applyBorder="1" applyAlignment="1">
      <alignment horizontal="left" vertical="top" wrapText="1"/>
    </xf>
    <xf numFmtId="0" fontId="16" fillId="0" borderId="10" xfId="0" applyFont="1" applyBorder="1" applyAlignment="1">
      <alignment horizontal="left" vertical="top" wrapText="1"/>
    </xf>
    <xf numFmtId="0" fontId="64" fillId="0" borderId="5" xfId="0" applyFont="1" applyBorder="1" applyAlignment="1">
      <alignment horizontal="center" vertical="center" textRotation="90"/>
    </xf>
    <xf numFmtId="0" fontId="0" fillId="0" borderId="3" xfId="0" applyBorder="1" applyAlignment="1">
      <alignment horizontal="center" vertical="center" textRotation="90"/>
    </xf>
    <xf numFmtId="0" fontId="0" fillId="0" borderId="4" xfId="0" applyBorder="1" applyAlignment="1">
      <alignment horizontal="center" vertical="center" textRotation="90"/>
    </xf>
    <xf numFmtId="0" fontId="78" fillId="0" borderId="110" xfId="0" applyFont="1" applyBorder="1" applyAlignment="1">
      <alignment horizontal="center" vertical="center" textRotation="90"/>
    </xf>
    <xf numFmtId="0" fontId="78" fillId="0" borderId="3" xfId="0" applyFont="1" applyBorder="1" applyAlignment="1">
      <alignment horizontal="center" vertical="center" textRotation="90"/>
    </xf>
    <xf numFmtId="0" fontId="0" fillId="0" borderId="0" xfId="0" applyBorder="1" applyAlignment="1">
      <alignment horizontal="center" textRotation="90"/>
    </xf>
    <xf numFmtId="0" fontId="40" fillId="7" borderId="62" xfId="0" applyFont="1" applyFill="1" applyBorder="1" applyAlignment="1">
      <alignment horizontal="left" wrapText="1"/>
    </xf>
    <xf numFmtId="0" fontId="0" fillId="0" borderId="62" xfId="0" applyBorder="1" applyAlignment="1">
      <alignment horizontal="left" wrapText="1"/>
    </xf>
    <xf numFmtId="0" fontId="0" fillId="0" borderId="62" xfId="0" applyBorder="1" applyAlignment="1">
      <alignment horizontal="left" vertical="top" wrapText="1"/>
    </xf>
    <xf numFmtId="0" fontId="0" fillId="0" borderId="66" xfId="0" applyBorder="1" applyAlignment="1">
      <alignment horizontal="left" vertical="top" wrapText="1"/>
    </xf>
    <xf numFmtId="0" fontId="64" fillId="0" borderId="3" xfId="0" applyFont="1" applyBorder="1" applyAlignment="1">
      <alignment horizontal="center" vertical="center" textRotation="90"/>
    </xf>
    <xf numFmtId="0" fontId="64" fillId="0" borderId="93" xfId="0" applyFont="1" applyBorder="1" applyAlignment="1">
      <alignment horizontal="center" vertical="center" textRotation="90"/>
    </xf>
    <xf numFmtId="164" fontId="20" fillId="4" borderId="3" xfId="0" applyNumberFormat="1" applyFont="1" applyFill="1" applyBorder="1" applyAlignment="1" applyProtection="1">
      <alignment horizontal="center" vertical="center"/>
    </xf>
    <xf numFmtId="164" fontId="20" fillId="4" borderId="10" xfId="0" applyNumberFormat="1" applyFont="1" applyFill="1" applyBorder="1" applyAlignment="1" applyProtection="1">
      <alignment horizontal="center" vertical="center"/>
    </xf>
    <xf numFmtId="164" fontId="20" fillId="4" borderId="4" xfId="0" applyNumberFormat="1" applyFont="1" applyFill="1" applyBorder="1" applyAlignment="1" applyProtection="1">
      <alignment horizontal="center" vertical="center"/>
    </xf>
    <xf numFmtId="164" fontId="20" fillId="4" borderId="24" xfId="0" applyNumberFormat="1" applyFont="1" applyFill="1" applyBorder="1" applyAlignment="1" applyProtection="1">
      <alignment horizontal="center" vertical="center"/>
    </xf>
    <xf numFmtId="164" fontId="20" fillId="2" borderId="4" xfId="0" applyNumberFormat="1" applyFont="1" applyFill="1" applyBorder="1" applyAlignment="1" applyProtection="1">
      <alignment horizontal="center" vertical="center"/>
    </xf>
    <xf numFmtId="164" fontId="20" fillId="2" borderId="24"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protection locked="0"/>
    </xf>
    <xf numFmtId="3" fontId="20" fillId="3" borderId="31" xfId="0" applyNumberFormat="1" applyFont="1" applyFill="1" applyBorder="1" applyAlignment="1" applyProtection="1">
      <alignment horizontal="center" vertical="center"/>
      <protection locked="0"/>
    </xf>
    <xf numFmtId="0" fontId="16" fillId="5" borderId="24" xfId="0" applyFont="1" applyFill="1" applyBorder="1" applyAlignment="1" applyProtection="1">
      <alignment horizontal="left" wrapText="1"/>
      <protection locked="0"/>
    </xf>
    <xf numFmtId="0" fontId="19" fillId="5" borderId="6" xfId="0" applyFont="1" applyFill="1" applyBorder="1" applyAlignment="1" applyProtection="1">
      <alignment horizontal="left"/>
      <protection locked="0"/>
    </xf>
    <xf numFmtId="0" fontId="19" fillId="5" borderId="13" xfId="0" applyFont="1" applyFill="1" applyBorder="1" applyAlignment="1" applyProtection="1">
      <alignment horizontal="left"/>
      <protection locked="0"/>
    </xf>
    <xf numFmtId="0" fontId="19" fillId="5" borderId="6" xfId="0" applyFont="1" applyFill="1" applyBorder="1" applyAlignment="1">
      <alignment horizontal="left"/>
    </xf>
    <xf numFmtId="0" fontId="19" fillId="5" borderId="13" xfId="0" applyFont="1" applyFill="1" applyBorder="1" applyAlignment="1">
      <alignment horizontal="left"/>
    </xf>
  </cellXfs>
  <cellStyles count="15">
    <cellStyle name="Euro" xfId="1"/>
    <cellStyle name="europrom3" xfId="2"/>
    <cellStyle name="Hyperlink" xfId="3" builtinId="8"/>
    <cellStyle name="Hyperlink 2" xfId="12"/>
    <cellStyle name="Komma" xfId="4" builtinId="3"/>
    <cellStyle name="matrix_allgem" xfId="13"/>
    <cellStyle name="Matrix1" xfId="5"/>
    <cellStyle name="MatrixNr" xfId="14"/>
    <cellStyle name="Prozent" xfId="6" builtinId="5"/>
    <cellStyle name="Prozent 2" xfId="7"/>
    <cellStyle name="Standard" xfId="0" builtinId="0"/>
    <cellStyle name="Standard 2" xfId="9"/>
    <cellStyle name="Standard 3" xfId="11"/>
    <cellStyle name="Standard_db" xfId="8"/>
    <cellStyle name="Stil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F0F0F0"/>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A7D280"/>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325" b="0" i="0" u="none" strike="noStrike" baseline="0">
                <a:solidFill>
                  <a:srgbClr val="000000"/>
                </a:solidFill>
                <a:latin typeface="Arial"/>
                <a:ea typeface="Arial"/>
                <a:cs typeface="Arial"/>
              </a:defRPr>
            </a:pPr>
            <a:r>
              <a:rPr lang="de-DE" sz="2600" b="1" i="0" u="none" strike="noStrike" baseline="0">
                <a:solidFill>
                  <a:srgbClr val="000000"/>
                </a:solidFill>
                <a:latin typeface="Arial"/>
                <a:cs typeface="Arial"/>
              </a:rPr>
              <a:t>Vollkosten</a:t>
            </a:r>
            <a:r>
              <a:rPr lang="de-DE" sz="2600" b="1" i="0" u="none" strike="noStrike" baseline="30000">
                <a:solidFill>
                  <a:srgbClr val="000000"/>
                </a:solidFill>
                <a:latin typeface="Arial"/>
                <a:cs typeface="Arial"/>
              </a:rPr>
              <a:t>1)</a:t>
            </a:r>
            <a:r>
              <a:rPr lang="de-DE" sz="2600" b="1" i="0" u="none" strike="noStrike" baseline="0">
                <a:solidFill>
                  <a:srgbClr val="000000"/>
                </a:solidFill>
                <a:latin typeface="Arial"/>
                <a:cs typeface="Arial"/>
              </a:rPr>
              <a:t> wichtiger Grünlandverfahren</a:t>
            </a:r>
          </a:p>
          <a:p>
            <a:pPr>
              <a:defRPr sz="3325" b="0" i="0" u="none" strike="noStrike" baseline="0">
                <a:solidFill>
                  <a:srgbClr val="000000"/>
                </a:solidFill>
                <a:latin typeface="Arial"/>
                <a:ea typeface="Arial"/>
                <a:cs typeface="Arial"/>
              </a:defRPr>
            </a:pPr>
            <a:r>
              <a:rPr lang="de-DE" sz="1800" b="0" i="0" u="none" strike="noStrike" baseline="0">
                <a:solidFill>
                  <a:srgbClr val="000000"/>
                </a:solidFill>
                <a:latin typeface="Arial"/>
                <a:cs typeface="Arial"/>
              </a:rPr>
              <a:t>im Vergleich mit Vollkosten verschiedener Kraftfuttermittel</a:t>
            </a:r>
            <a:r>
              <a:rPr lang="de-DE" sz="1800" b="0" i="0" u="none" strike="noStrike" baseline="30000">
                <a:solidFill>
                  <a:srgbClr val="000000"/>
                </a:solidFill>
                <a:latin typeface="Arial"/>
                <a:cs typeface="Arial"/>
              </a:rPr>
              <a:t>2)</a:t>
            </a:r>
            <a:endParaRPr lang="de-DE"/>
          </a:p>
        </c:rich>
      </c:tx>
      <c:layout>
        <c:manualLayout>
          <c:xMode val="edge"/>
          <c:yMode val="edge"/>
          <c:x val="0.24899918433694174"/>
          <c:y val="8.3217079073867137E-5"/>
        </c:manualLayout>
      </c:layout>
      <c:overlay val="0"/>
      <c:spPr>
        <a:noFill/>
        <a:ln w="25400">
          <a:noFill/>
        </a:ln>
      </c:spPr>
    </c:title>
    <c:autoTitleDeleted val="0"/>
    <c:plotArea>
      <c:layout>
        <c:manualLayout>
          <c:layoutTarget val="inner"/>
          <c:xMode val="edge"/>
          <c:yMode val="edge"/>
          <c:x val="8.154079030257079E-2"/>
          <c:y val="0.1046622750757626"/>
          <c:w val="0.84492266761375501"/>
          <c:h val="0.64700315501380523"/>
        </c:manualLayout>
      </c:layout>
      <c:barChart>
        <c:barDir val="col"/>
        <c:grouping val="clustered"/>
        <c:varyColors val="0"/>
        <c:ser>
          <c:idx val="0"/>
          <c:order val="0"/>
          <c:spPr>
            <a:solidFill>
              <a:schemeClr val="accent1"/>
            </a:solidFill>
          </c:spPr>
          <c:invertIfNegative val="0"/>
          <c:dPt>
            <c:idx val="9"/>
            <c:invertIfNegative val="0"/>
            <c:bubble3D val="0"/>
          </c:dPt>
          <c:dPt>
            <c:idx val="10"/>
            <c:invertIfNegative val="0"/>
            <c:bubble3D val="0"/>
            <c:spPr>
              <a:solidFill>
                <a:schemeClr val="accent2">
                  <a:lumMod val="50000"/>
                </a:schemeClr>
              </a:solidFill>
            </c:spPr>
          </c:dPt>
          <c:dPt>
            <c:idx val="11"/>
            <c:invertIfNegative val="0"/>
            <c:bubble3D val="0"/>
            <c:spPr>
              <a:solidFill>
                <a:schemeClr val="accent2">
                  <a:lumMod val="50000"/>
                </a:schemeClr>
              </a:solidFill>
            </c:spPr>
          </c:dPt>
          <c:dPt>
            <c:idx val="12"/>
            <c:invertIfNegative val="0"/>
            <c:bubble3D val="0"/>
            <c:spPr>
              <a:solidFill>
                <a:schemeClr val="accent2">
                  <a:lumMod val="75000"/>
                </a:schemeClr>
              </a:solidFill>
            </c:spPr>
          </c:dPt>
          <c:dPt>
            <c:idx val="13"/>
            <c:invertIfNegative val="0"/>
            <c:bubble3D val="0"/>
          </c:dPt>
          <c:dPt>
            <c:idx val="14"/>
            <c:invertIfNegative val="0"/>
            <c:bubble3D val="0"/>
          </c:dPt>
          <c:dPt>
            <c:idx val="15"/>
            <c:invertIfNegative val="0"/>
            <c:bubble3D val="0"/>
          </c:dPt>
          <c:dPt>
            <c:idx val="16"/>
            <c:invertIfNegative val="0"/>
            <c:bubble3D val="0"/>
          </c:dPt>
          <c:dLbls>
            <c:spPr>
              <a:noFill/>
              <a:ln w="25400">
                <a:noFill/>
              </a:ln>
            </c:spPr>
            <c:txPr>
              <a:bodyPr/>
              <a:lstStyle/>
              <a:p>
                <a:pPr>
                  <a:defRPr sz="2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strRef>
              <c:f>(Grafik!$B$11:$K$11,Grafik!$T$11:$U$11)</c:f>
              <c:strCache>
                <c:ptCount val="12"/>
                <c:pt idx="0">
                  <c:v>3 Nutz. Grünf.</c:v>
                </c:pt>
                <c:pt idx="1">
                  <c:v>4 Nutz. Grünf.</c:v>
                </c:pt>
                <c:pt idx="2">
                  <c:v>3 Nutz. Fahrsilo</c:v>
                </c:pt>
                <c:pt idx="3">
                  <c:v>4 Nutz. Fahrsilo</c:v>
                </c:pt>
                <c:pt idx="4">
                  <c:v>2 Nutz. Heuballen</c:v>
                </c:pt>
                <c:pt idx="5">
                  <c:v>3 Nutz. Heuballen</c:v>
                </c:pt>
                <c:pt idx="6">
                  <c:v> 4 Nutz. HeuTrock</c:v>
                </c:pt>
                <c:pt idx="7">
                  <c:v>Standw. ext.</c:v>
                </c:pt>
                <c:pt idx="8">
                  <c:v>Umtriebsweide</c:v>
                </c:pt>
                <c:pt idx="9">
                  <c:v>Portionsweide</c:v>
                </c:pt>
                <c:pt idx="10">
                  <c:v>Futtergerste</c:v>
                </c:pt>
                <c:pt idx="11">
                  <c:v>MLF 16:3</c:v>
                </c:pt>
              </c:strCache>
            </c:strRef>
          </c:cat>
          <c:val>
            <c:numRef>
              <c:f>(Grafik!$B$12:$K$12,Grafik!$T$12:$U$12)</c:f>
              <c:numCache>
                <c:formatCode>0.00</c:formatCode>
                <c:ptCount val="12"/>
                <c:pt idx="0">
                  <c:v>0.27719048793522472</c:v>
                </c:pt>
                <c:pt idx="1">
                  <c:v>0.35395158144514932</c:v>
                </c:pt>
                <c:pt idx="2">
                  <c:v>0.35993007051266429</c:v>
                </c:pt>
                <c:pt idx="3">
                  <c:v>0.41119350100461716</c:v>
                </c:pt>
                <c:pt idx="4">
                  <c:v>0.3988612269493389</c:v>
                </c:pt>
                <c:pt idx="5">
                  <c:v>0.44802724343465022</c:v>
                </c:pt>
                <c:pt idx="6">
                  <c:v>0.58496170857861474</c:v>
                </c:pt>
                <c:pt idx="7">
                  <c:v>0.1062832845711084</c:v>
                </c:pt>
                <c:pt idx="8">
                  <c:v>0.10435997578069663</c:v>
                </c:pt>
                <c:pt idx="9">
                  <c:v>0.16280037346183487</c:v>
                </c:pt>
                <c:pt idx="10">
                  <c:v>0.4513888888888889</c:v>
                </c:pt>
                <c:pt idx="11">
                  <c:v>0.61194029850746268</c:v>
                </c:pt>
              </c:numCache>
            </c:numRef>
          </c:val>
        </c:ser>
        <c:ser>
          <c:idx val="1"/>
          <c:order val="1"/>
          <c:tx>
            <c:strRef>
              <c:f>Erträge!$B$1</c:f>
              <c:strCache>
                <c:ptCount val="1"/>
                <c:pt idx="0">
                  <c:v>zurück zum Inhaltsverzeichnis</c:v>
                </c:pt>
              </c:strCache>
            </c:strRef>
          </c:tx>
          <c:invertIfNegative val="0"/>
          <c:cat>
            <c:strRef>
              <c:f>(Grafik!$B$11:$K$11,Grafik!$T$11:$U$11)</c:f>
              <c:strCache>
                <c:ptCount val="12"/>
                <c:pt idx="0">
                  <c:v>3 Nutz. Grünf.</c:v>
                </c:pt>
                <c:pt idx="1">
                  <c:v>4 Nutz. Grünf.</c:v>
                </c:pt>
                <c:pt idx="2">
                  <c:v>3 Nutz. Fahrsilo</c:v>
                </c:pt>
                <c:pt idx="3">
                  <c:v>4 Nutz. Fahrsilo</c:v>
                </c:pt>
                <c:pt idx="4">
                  <c:v>2 Nutz. Heuballen</c:v>
                </c:pt>
                <c:pt idx="5">
                  <c:v>3 Nutz. Heuballen</c:v>
                </c:pt>
                <c:pt idx="6">
                  <c:v> 4 Nutz. HeuTrock</c:v>
                </c:pt>
                <c:pt idx="7">
                  <c:v>Standw. ext.</c:v>
                </c:pt>
                <c:pt idx="8">
                  <c:v>Umtriebsweide</c:v>
                </c:pt>
                <c:pt idx="9">
                  <c:v>Portionsweide</c:v>
                </c:pt>
                <c:pt idx="10">
                  <c:v>Futtergerste</c:v>
                </c:pt>
                <c:pt idx="11">
                  <c:v>MLF 16:3</c:v>
                </c:pt>
              </c:strCache>
            </c:strRef>
          </c:cat>
          <c:val>
            <c:numRef>
              <c:f>Erträge!$C$1:$F$1</c:f>
              <c:numCache>
                <c:formatCode>General</c:formatCode>
                <c:ptCount val="4"/>
              </c:numCache>
            </c:numRef>
          </c:val>
        </c:ser>
        <c:dLbls>
          <c:showLegendKey val="0"/>
          <c:showVal val="0"/>
          <c:showCatName val="0"/>
          <c:showSerName val="0"/>
          <c:showPercent val="0"/>
          <c:showBubbleSize val="0"/>
        </c:dLbls>
        <c:gapWidth val="210"/>
        <c:axId val="179321472"/>
        <c:axId val="179347840"/>
      </c:barChart>
      <c:catAx>
        <c:axId val="179321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600" b="1" i="0" u="none" strike="noStrike" baseline="0">
                <a:solidFill>
                  <a:srgbClr val="000000"/>
                </a:solidFill>
                <a:latin typeface="Arial"/>
                <a:ea typeface="Arial"/>
                <a:cs typeface="Arial"/>
              </a:defRPr>
            </a:pPr>
            <a:endParaRPr lang="de-DE"/>
          </a:p>
        </c:txPr>
        <c:crossAx val="179347840"/>
        <c:crosses val="autoZero"/>
        <c:auto val="0"/>
        <c:lblAlgn val="ctr"/>
        <c:lblOffset val="100"/>
        <c:noMultiLvlLbl val="0"/>
      </c:catAx>
      <c:valAx>
        <c:axId val="179347840"/>
        <c:scaling>
          <c:orientation val="minMax"/>
          <c:min val="0"/>
        </c:scaling>
        <c:delete val="0"/>
        <c:axPos val="l"/>
        <c:majorGridlines/>
        <c:title>
          <c:tx>
            <c:rich>
              <a:bodyPr rot="0" vert="horz"/>
              <a:lstStyle/>
              <a:p>
                <a:pPr algn="ctr">
                  <a:defRPr sz="1200" b="1" i="0" u="none" strike="noStrike" baseline="0">
                    <a:solidFill>
                      <a:srgbClr val="000000"/>
                    </a:solidFill>
                    <a:latin typeface="Arial"/>
                    <a:ea typeface="Arial"/>
                    <a:cs typeface="Arial"/>
                  </a:defRPr>
                </a:pPr>
                <a:r>
                  <a:rPr lang="de-DE"/>
                  <a:t>€/10 MJ NEL</a:t>
                </a:r>
              </a:p>
            </c:rich>
          </c:tx>
          <c:layout>
            <c:manualLayout>
              <c:xMode val="edge"/>
              <c:yMode val="edge"/>
              <c:x val="5.2026013006503252E-2"/>
              <c:y val="6.279733587059943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179321472"/>
        <c:crosses val="autoZero"/>
        <c:crossBetween val="between"/>
        <c:majorUnit val="0.05"/>
      </c:valAx>
      <c:spPr>
        <a:solidFill>
          <a:srgbClr val="FFFFC0"/>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3325" b="0" i="0" u="none" strike="noStrike" baseline="0">
          <a:solidFill>
            <a:srgbClr val="000000"/>
          </a:solidFill>
          <a:latin typeface="Arial"/>
          <a:ea typeface="Arial"/>
          <a:cs typeface="Arial"/>
        </a:defRPr>
      </a:pPr>
      <a:endParaRPr lang="de-DE"/>
    </a:p>
  </c:txPr>
  <c:printSettings>
    <c:headerFooter alignWithMargins="0">
      <c:oddFooter>&amp;LLEL Schwäbisch Gmünd, Abtlg II
LVVG Aulendorf&amp;Z
&amp;R&amp;D
11a</c:oddFooter>
    </c:headerFooter>
    <c:pageMargins b="0.984251969" l="0.78740157499999996" r="0.3"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325" b="0" i="0" u="none" strike="noStrike" baseline="0">
                <a:solidFill>
                  <a:srgbClr val="000000"/>
                </a:solidFill>
                <a:latin typeface="Arial"/>
                <a:ea typeface="Arial"/>
                <a:cs typeface="Arial"/>
              </a:defRPr>
            </a:pPr>
            <a:r>
              <a:rPr lang="de-DE" sz="2600" b="1" i="0" u="none" strike="noStrike" baseline="0">
                <a:solidFill>
                  <a:srgbClr val="000000"/>
                </a:solidFill>
                <a:latin typeface="Arial"/>
                <a:cs typeface="Arial"/>
              </a:rPr>
              <a:t>Vollkosten</a:t>
            </a:r>
            <a:r>
              <a:rPr lang="de-DE" sz="2600" b="1" i="0" u="none" strike="noStrike" baseline="30000">
                <a:solidFill>
                  <a:srgbClr val="000000"/>
                </a:solidFill>
                <a:latin typeface="Arial"/>
                <a:cs typeface="Arial"/>
              </a:rPr>
              <a:t>1)</a:t>
            </a:r>
            <a:r>
              <a:rPr lang="de-DE" sz="2600" b="1" i="0" u="none" strike="noStrike" baseline="0">
                <a:solidFill>
                  <a:srgbClr val="000000"/>
                </a:solidFill>
                <a:latin typeface="Arial"/>
                <a:cs typeface="Arial"/>
              </a:rPr>
              <a:t> wichtiger Ackerfutterbauverfahren</a:t>
            </a:r>
            <a:endParaRPr lang="de-DE" sz="1800" b="1" i="0" u="none" strike="noStrike" baseline="0">
              <a:solidFill>
                <a:srgbClr val="000000"/>
              </a:solidFill>
              <a:latin typeface="Arial"/>
              <a:cs typeface="Arial"/>
            </a:endParaRPr>
          </a:p>
          <a:p>
            <a:pPr>
              <a:defRPr sz="3325" b="0" i="0" u="none" strike="noStrike" baseline="0">
                <a:solidFill>
                  <a:srgbClr val="000000"/>
                </a:solidFill>
                <a:latin typeface="Arial"/>
                <a:ea typeface="Arial"/>
                <a:cs typeface="Arial"/>
              </a:defRPr>
            </a:pPr>
            <a:r>
              <a:rPr lang="de-DE" sz="1800" b="0" i="0" u="none" strike="noStrike" baseline="0">
                <a:solidFill>
                  <a:srgbClr val="000000"/>
                </a:solidFill>
                <a:latin typeface="Arial"/>
                <a:cs typeface="Arial"/>
              </a:rPr>
              <a:t>im Vergleich mit Vollkosten verschiedener Kraftfuttermittel</a:t>
            </a:r>
            <a:r>
              <a:rPr lang="de-DE" sz="1800" b="0" i="0" u="none" strike="noStrike" baseline="30000">
                <a:solidFill>
                  <a:srgbClr val="000000"/>
                </a:solidFill>
                <a:latin typeface="Arial"/>
                <a:cs typeface="Arial"/>
              </a:rPr>
              <a:t>2)</a:t>
            </a:r>
            <a:endParaRPr lang="de-DE"/>
          </a:p>
        </c:rich>
      </c:tx>
      <c:layout>
        <c:manualLayout>
          <c:xMode val="edge"/>
          <c:yMode val="edge"/>
          <c:x val="0.23754334347394382"/>
          <c:y val="1.1550466800441167E-2"/>
        </c:manualLayout>
      </c:layout>
      <c:overlay val="0"/>
      <c:spPr>
        <a:noFill/>
        <a:ln w="25400">
          <a:noFill/>
        </a:ln>
      </c:spPr>
    </c:title>
    <c:autoTitleDeleted val="0"/>
    <c:plotArea>
      <c:layout>
        <c:manualLayout>
          <c:layoutTarget val="inner"/>
          <c:xMode val="edge"/>
          <c:yMode val="edge"/>
          <c:x val="8.154079030257079E-2"/>
          <c:y val="0.1046622750757626"/>
          <c:w val="0.84492266761375501"/>
          <c:h val="0.64700315501380523"/>
        </c:manualLayout>
      </c:layout>
      <c:barChart>
        <c:barDir val="col"/>
        <c:grouping val="clustered"/>
        <c:varyColors val="0"/>
        <c:ser>
          <c:idx val="0"/>
          <c:order val="0"/>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tx2">
                  <a:lumMod val="60000"/>
                  <a:lumOff val="40000"/>
                </a:schemeClr>
              </a:solidFill>
            </c:spPr>
          </c:dPt>
          <c:dPt>
            <c:idx val="3"/>
            <c:invertIfNegative val="0"/>
            <c:bubble3D val="0"/>
            <c:spPr>
              <a:solidFill>
                <a:schemeClr val="tx2">
                  <a:lumMod val="60000"/>
                  <a:lumOff val="40000"/>
                </a:schemeClr>
              </a:solidFill>
            </c:spPr>
          </c:dPt>
          <c:dPt>
            <c:idx val="4"/>
            <c:invertIfNegative val="0"/>
            <c:bubble3D val="0"/>
            <c:spPr>
              <a:solidFill>
                <a:schemeClr val="tx2">
                  <a:lumMod val="60000"/>
                  <a:lumOff val="40000"/>
                </a:schemeClr>
              </a:solidFill>
            </c:spPr>
          </c:dPt>
          <c:dPt>
            <c:idx val="5"/>
            <c:invertIfNegative val="0"/>
            <c:bubble3D val="0"/>
            <c:spPr>
              <a:solidFill>
                <a:schemeClr val="tx2">
                  <a:lumMod val="60000"/>
                  <a:lumOff val="40000"/>
                </a:schemeClr>
              </a:solidFill>
            </c:spPr>
          </c:dPt>
          <c:dPt>
            <c:idx val="6"/>
            <c:invertIfNegative val="0"/>
            <c:bubble3D val="0"/>
            <c:spPr>
              <a:solidFill>
                <a:schemeClr val="tx2">
                  <a:lumMod val="60000"/>
                  <a:lumOff val="40000"/>
                </a:schemeClr>
              </a:solidFill>
            </c:spPr>
          </c:dPt>
          <c:dPt>
            <c:idx val="7"/>
            <c:invertIfNegative val="0"/>
            <c:bubble3D val="0"/>
            <c:spPr>
              <a:solidFill>
                <a:schemeClr val="tx2">
                  <a:lumMod val="60000"/>
                  <a:lumOff val="40000"/>
                </a:schemeClr>
              </a:solidFill>
            </c:spPr>
          </c:dPt>
          <c:dPt>
            <c:idx val="8"/>
            <c:invertIfNegative val="0"/>
            <c:bubble3D val="0"/>
            <c:spPr>
              <a:solidFill>
                <a:schemeClr val="accent2"/>
              </a:solidFill>
            </c:spPr>
          </c:dPt>
          <c:dPt>
            <c:idx val="9"/>
            <c:invertIfNegative val="0"/>
            <c:bubble3D val="0"/>
            <c:spPr>
              <a:solidFill>
                <a:schemeClr val="accent2">
                  <a:lumMod val="75000"/>
                </a:schemeClr>
              </a:solidFill>
            </c:spPr>
          </c:dPt>
          <c:dPt>
            <c:idx val="13"/>
            <c:invertIfNegative val="0"/>
            <c:bubble3D val="0"/>
          </c:dPt>
          <c:dPt>
            <c:idx val="14"/>
            <c:invertIfNegative val="0"/>
            <c:bubble3D val="0"/>
          </c:dPt>
          <c:dPt>
            <c:idx val="15"/>
            <c:invertIfNegative val="0"/>
            <c:bubble3D val="0"/>
          </c:dPt>
          <c:dPt>
            <c:idx val="16"/>
            <c:invertIfNegative val="0"/>
            <c:bubble3D val="0"/>
          </c:dPt>
          <c:dPt>
            <c:idx val="19"/>
            <c:invertIfNegative val="0"/>
            <c:bubble3D val="0"/>
            <c:spPr>
              <a:solidFill>
                <a:schemeClr val="accent2"/>
              </a:solidFill>
            </c:spPr>
          </c:dPt>
          <c:dPt>
            <c:idx val="20"/>
            <c:invertIfNegative val="0"/>
            <c:bubble3D val="0"/>
            <c:spPr>
              <a:solidFill>
                <a:schemeClr val="accent2"/>
              </a:solidFill>
            </c:spPr>
          </c:dPt>
          <c:dPt>
            <c:idx val="21"/>
            <c:invertIfNegative val="0"/>
            <c:bubble3D val="0"/>
            <c:spPr>
              <a:solidFill>
                <a:schemeClr val="accent2"/>
              </a:solidFill>
            </c:spPr>
          </c:dPt>
          <c:dLbls>
            <c:spPr>
              <a:noFill/>
              <a:ln w="25400">
                <a:noFill/>
              </a:ln>
            </c:spPr>
            <c:txPr>
              <a:bodyPr/>
              <a:lstStyle/>
              <a:p>
                <a:pPr>
                  <a:defRPr sz="2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strRef>
              <c:f>Grafik!$L$11:$X$11</c:f>
              <c:strCache>
                <c:ptCount val="10"/>
                <c:pt idx="0">
                  <c:v>Kleegras grün Klee-betont </c:v>
                </c:pt>
                <c:pt idx="1">
                  <c:v>Kleegras Silage Gras-betont </c:v>
                </c:pt>
                <c:pt idx="2">
                  <c:v>Kleegras Cobs Klee-betont</c:v>
                </c:pt>
                <c:pt idx="3">
                  <c:v>Luzerne grün (reine Luzerne)</c:v>
                </c:pt>
                <c:pt idx="4">
                  <c:v>Luzerne Heu getr. (reine Luzerne)</c:v>
                </c:pt>
                <c:pt idx="5">
                  <c:v>Silomais </c:v>
                </c:pt>
                <c:pt idx="6">
                  <c:v>Ganzpflanzensilage Gerste-Erbsen (50:50)</c:v>
                </c:pt>
                <c:pt idx="7">
                  <c:v>Landsberger Gemenge Zwfr. Silage</c:v>
                </c:pt>
                <c:pt idx="8">
                  <c:v>Futtergerste</c:v>
                </c:pt>
                <c:pt idx="9">
                  <c:v>MLF 16:3</c:v>
                </c:pt>
              </c:strCache>
            </c:strRef>
          </c:cat>
          <c:val>
            <c:numRef>
              <c:f>Grafik!$L$12:$X$12</c:f>
              <c:numCache>
                <c:formatCode>0.00</c:formatCode>
                <c:ptCount val="13"/>
                <c:pt idx="0">
                  <c:v>0.34317513318848902</c:v>
                </c:pt>
                <c:pt idx="1">
                  <c:v>0.49297588945093174</c:v>
                </c:pt>
                <c:pt idx="2">
                  <c:v>0.79632969380536378</c:v>
                </c:pt>
                <c:pt idx="3">
                  <c:v>0.34019581870326243</c:v>
                </c:pt>
                <c:pt idx="4">
                  <c:v>0.58211194977836411</c:v>
                </c:pt>
                <c:pt idx="5">
                  <c:v>0.33025237431023624</c:v>
                </c:pt>
                <c:pt idx="6">
                  <c:v>0.40212674285091188</c:v>
                </c:pt>
                <c:pt idx="7">
                  <c:v>0.41680947214015751</c:v>
                </c:pt>
                <c:pt idx="8">
                  <c:v>0.4513888888888889</c:v>
                </c:pt>
                <c:pt idx="9">
                  <c:v>0.61194029850746268</c:v>
                </c:pt>
              </c:numCache>
            </c:numRef>
          </c:val>
        </c:ser>
        <c:dLbls>
          <c:showLegendKey val="0"/>
          <c:showVal val="0"/>
          <c:showCatName val="0"/>
          <c:showSerName val="0"/>
          <c:showPercent val="0"/>
          <c:showBubbleSize val="0"/>
        </c:dLbls>
        <c:gapWidth val="210"/>
        <c:axId val="179227264"/>
        <c:axId val="179237248"/>
      </c:barChart>
      <c:catAx>
        <c:axId val="17922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1800000" vert="horz"/>
          <a:lstStyle/>
          <a:p>
            <a:pPr>
              <a:defRPr sz="1600" b="1" i="0" u="none" strike="noStrike" baseline="0">
                <a:solidFill>
                  <a:srgbClr val="000000"/>
                </a:solidFill>
                <a:latin typeface="Arial"/>
                <a:ea typeface="Arial"/>
                <a:cs typeface="Arial"/>
              </a:defRPr>
            </a:pPr>
            <a:endParaRPr lang="de-DE"/>
          </a:p>
        </c:txPr>
        <c:crossAx val="179237248"/>
        <c:crosses val="autoZero"/>
        <c:auto val="0"/>
        <c:lblAlgn val="ctr"/>
        <c:lblOffset val="100"/>
        <c:noMultiLvlLbl val="0"/>
      </c:catAx>
      <c:valAx>
        <c:axId val="179237248"/>
        <c:scaling>
          <c:orientation val="minMax"/>
          <c:min val="0"/>
        </c:scaling>
        <c:delete val="0"/>
        <c:axPos val="l"/>
        <c:majorGridlines/>
        <c:title>
          <c:tx>
            <c:rich>
              <a:bodyPr rot="0" vert="horz"/>
              <a:lstStyle/>
              <a:p>
                <a:pPr algn="ctr">
                  <a:defRPr sz="1200" b="1" i="0" u="none" strike="noStrike" baseline="0">
                    <a:solidFill>
                      <a:srgbClr val="000000"/>
                    </a:solidFill>
                    <a:latin typeface="Arial"/>
                    <a:ea typeface="Arial"/>
                    <a:cs typeface="Arial"/>
                  </a:defRPr>
                </a:pPr>
                <a:r>
                  <a:rPr lang="de-DE"/>
                  <a:t>€/10 MJ NEL</a:t>
                </a:r>
              </a:p>
            </c:rich>
          </c:tx>
          <c:layout>
            <c:manualLayout>
              <c:xMode val="edge"/>
              <c:yMode val="edge"/>
              <c:x val="5.2026013006503252E-2"/>
              <c:y val="6.279733587059943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de-DE"/>
          </a:p>
        </c:txPr>
        <c:crossAx val="179227264"/>
        <c:crosses val="autoZero"/>
        <c:crossBetween val="between"/>
        <c:majorUnit val="0.05"/>
      </c:valAx>
      <c:spPr>
        <a:solidFill>
          <a:srgbClr val="FFFFC0"/>
        </a:solidFill>
        <a:ln w="12700">
          <a:solidFill>
            <a:srgbClr val="808080"/>
          </a:solidFill>
          <a:prstDash val="solid"/>
        </a:ln>
      </c:spPr>
    </c:plotArea>
    <c:plotVisOnly val="1"/>
    <c:dispBlanksAs val="gap"/>
    <c:showDLblsOverMax val="0"/>
  </c:chart>
  <c:spPr>
    <a:solidFill>
      <a:srgbClr val="CCFFCC"/>
    </a:solidFill>
    <a:ln w="3175">
      <a:solidFill>
        <a:srgbClr val="000000"/>
      </a:solidFill>
      <a:prstDash val="solid"/>
    </a:ln>
  </c:spPr>
  <c:txPr>
    <a:bodyPr/>
    <a:lstStyle/>
    <a:p>
      <a:pPr>
        <a:defRPr sz="3325" b="0" i="0" u="none" strike="noStrike" baseline="0">
          <a:solidFill>
            <a:srgbClr val="000000"/>
          </a:solidFill>
          <a:latin typeface="Arial"/>
          <a:ea typeface="Arial"/>
          <a:cs typeface="Arial"/>
        </a:defRPr>
      </a:pPr>
      <a:endParaRPr lang="de-DE"/>
    </a:p>
  </c:txPr>
  <c:printSettings>
    <c:headerFooter alignWithMargins="0">
      <c:oddFooter>&amp;LLEL Schwäbisch Gmünd, Abtlg II
LVVG Aulendorf&amp;Z
&amp;R&amp;D
11a</c:oddFooter>
    </c:headerFooter>
    <c:pageMargins b="0.984251969" l="0.78740157499999996" r="0.3" t="0.984251969" header="0.4921259845" footer="0.4921259845"/>
    <c:pageSetup paperSize="9" orientation="landscape"/>
  </c:printSettings>
  <c:userShapes r:id="rId1"/>
</c:chartSpace>
</file>

<file path=xl/ctrlProps/ctrlProp1.xml><?xml version="1.0" encoding="utf-8"?>
<formControlPr xmlns="http://schemas.microsoft.com/office/spreadsheetml/2009/9/main" objectType="CheckBox" checked="Checked" fmlaLink="$S$23" lockText="1" noThreeD="1"/>
</file>

<file path=xl/ctrlProps/ctrlProp10.xml><?xml version="1.0" encoding="utf-8"?>
<formControlPr xmlns="http://schemas.microsoft.com/office/spreadsheetml/2009/9/main" objectType="Drop" dropLines="10" dropStyle="combo" dx="17" fmlaLink="$B$48" fmlaRange="Arbeitsgänge!$C$26:$C$78" noThreeD="1" sel="22" val="13"/>
</file>

<file path=xl/ctrlProps/ctrlProp100.xml><?xml version="1.0" encoding="utf-8"?>
<formControlPr xmlns="http://schemas.microsoft.com/office/spreadsheetml/2009/9/main" objectType="Drop" dropLines="10" dropStyle="combo" dx="17" fmlaLink="$B$54" fmlaRange="Arbeitsgänge!$C$26:$C$78" noThreeD="1" sel="43" val="36"/>
</file>

<file path=xl/ctrlProps/ctrlProp101.xml><?xml version="1.0" encoding="utf-8"?>
<formControlPr xmlns="http://schemas.microsoft.com/office/spreadsheetml/2009/9/main" objectType="Drop" dropLines="10" dropStyle="combo" dx="17" fmlaLink="$B$55" fmlaRange="Arbeitsgänge!$C$26:$C$78" noThreeD="1" sel="49" val="43"/>
</file>

<file path=xl/ctrlProps/ctrlProp102.xml><?xml version="1.0" encoding="utf-8"?>
<formControlPr xmlns="http://schemas.microsoft.com/office/spreadsheetml/2009/9/main" objectType="Drop" dropLines="10" dropStyle="combo" dx="17" fmlaLink="$B$56" fmlaRange="Arbeitsgänge!$C$26:$C$78" noThreeD="1" sel="49" val="43"/>
</file>

<file path=xl/ctrlProps/ctrlProp103.xml><?xml version="1.0" encoding="utf-8"?>
<formControlPr xmlns="http://schemas.microsoft.com/office/spreadsheetml/2009/9/main" objectType="Drop" dropLines="10" dropStyle="combo" dx="17" fmlaLink="$B$26" fmlaRange="Prämien!$D$8:$M$37" noThreeD="1" val="0"/>
</file>

<file path=xl/ctrlProps/ctrlProp104.xml><?xml version="1.0" encoding="utf-8"?>
<formControlPr xmlns="http://schemas.microsoft.com/office/spreadsheetml/2009/9/main" objectType="Drop" dropLines="10" dropStyle="combo" dx="17" fmlaLink="$B$28" fmlaRange="Prämien!$D$8:$M$37" noThreeD="1" sel="30" val="20"/>
</file>

<file path=xl/ctrlProps/ctrlProp105.xml><?xml version="1.0" encoding="utf-8"?>
<formControlPr xmlns="http://schemas.microsoft.com/office/spreadsheetml/2009/9/main" objectType="Drop" dropLines="10" dropStyle="combo" dx="17" fmlaLink="$B$29" fmlaRange="Prämien!$D$8:$M$37" noThreeD="1" sel="30" val="20"/>
</file>

<file path=xl/ctrlProps/ctrlProp106.xml><?xml version="1.0" encoding="utf-8"?>
<formControlPr xmlns="http://schemas.microsoft.com/office/spreadsheetml/2009/9/main" objectType="Drop" dropLines="10" dropStyle="combo" dx="17" fmlaLink="$B$27" fmlaRange="Prämien!$D$8:$M$37" noThreeD="1" sel="24" val="20"/>
</file>

<file path=xl/ctrlProps/ctrlProp107.xml><?xml version="1.0" encoding="utf-8"?>
<formControlPr xmlns="http://schemas.microsoft.com/office/spreadsheetml/2009/9/main" objectType="Drop" dropLines="3" dropStyle="combo" dx="17" fmlaLink="$B$31" fmlaRange="Prämien!$Q$8:$Y$9" noThreeD="1" val="0"/>
</file>

<file path=xl/ctrlProps/ctrlProp108.xml><?xml version="1.0" encoding="utf-8"?>
<formControlPr xmlns="http://schemas.microsoft.com/office/spreadsheetml/2009/9/main" objectType="Drop" dropLines="6" dropStyle="combo" dx="17" fmlaLink="$V$5" fmlaRange="$T$4:$T$15" noThreeD="1" sel="6" val="5"/>
</file>

<file path=xl/ctrlProps/ctrlProp109.xml><?xml version="1.0" encoding="utf-8"?>
<formControlPr xmlns="http://schemas.microsoft.com/office/spreadsheetml/2009/9/main" objectType="Drop" dropLines="6" dropStyle="combo" dx="17" fmlaLink="$X$5" fmlaRange="$T$4:$T$13" noThreeD="1" sel="6" val="4"/>
</file>

<file path=xl/ctrlProps/ctrlProp11.xml><?xml version="1.0" encoding="utf-8"?>
<formControlPr xmlns="http://schemas.microsoft.com/office/spreadsheetml/2009/9/main" objectType="Drop" dropLines="10" dropStyle="combo" dx="17" fmlaLink="$B$49" fmlaRange="Arbeitsgänge!$C$26:$C$78" noThreeD="1" sel="34" val="28"/>
</file>

<file path=xl/ctrlProps/ctrlProp110.xml><?xml version="1.0" encoding="utf-8"?>
<formControlPr xmlns="http://schemas.microsoft.com/office/spreadsheetml/2009/9/main" objectType="Drop" dropLines="6" dropStyle="combo" dx="17" fmlaLink="$W$5" fmlaRange="$T$4:$T$15" noThreeD="1" sel="6" val="4"/>
</file>

<file path=xl/ctrlProps/ctrlProp111.xml><?xml version="1.0" encoding="utf-8"?>
<formControlPr xmlns="http://schemas.microsoft.com/office/spreadsheetml/2009/9/main" objectType="Drop" dropLines="6" dropStyle="combo" dx="17" fmlaLink="$Y$5" fmlaRange="$T$4:$T$13" noThreeD="1" sel="10" val="4"/>
</file>

<file path=xl/ctrlProps/ctrlProp112.xml><?xml version="1.0" encoding="utf-8"?>
<formControlPr xmlns="http://schemas.microsoft.com/office/spreadsheetml/2009/9/main" objectType="Drop" dropLines="6" dropStyle="combo" dx="17" fmlaLink="$Z$5" fmlaRange="$T$4:$T$13" noThreeD="1" sel="10" val="4"/>
</file>

<file path=xl/ctrlProps/ctrlProp113.xml><?xml version="1.0" encoding="utf-8"?>
<formControlPr xmlns="http://schemas.microsoft.com/office/spreadsheetml/2009/9/main" objectType="Drop" dropLines="10" dropStyle="combo" dx="17" fmlaLink="$B$46" fmlaRange="Arbeitsgänge!$C$26:$C$78" noThreeD="1" sel="19" val="17"/>
</file>

<file path=xl/ctrlProps/ctrlProp114.xml><?xml version="1.0" encoding="utf-8"?>
<formControlPr xmlns="http://schemas.microsoft.com/office/spreadsheetml/2009/9/main" objectType="Drop" dropLines="10" dropStyle="combo" dx="17" fmlaLink="$B$47" fmlaRange="Arbeitsgänge!$C$26:$C$78" noThreeD="1" sel="20" val="18"/>
</file>

<file path=xl/ctrlProps/ctrlProp115.xml><?xml version="1.0" encoding="utf-8"?>
<formControlPr xmlns="http://schemas.microsoft.com/office/spreadsheetml/2009/9/main" objectType="Drop" dropLines="10" dropStyle="combo" dx="17" fmlaLink="$B$48" fmlaRange="Arbeitsgänge!$C$26:$C$78" noThreeD="1" sel="22" val="13"/>
</file>

<file path=xl/ctrlProps/ctrlProp116.xml><?xml version="1.0" encoding="utf-8"?>
<formControlPr xmlns="http://schemas.microsoft.com/office/spreadsheetml/2009/9/main" objectType="Drop" dropLines="10" dropStyle="combo" dx="17" fmlaLink="$B$49" fmlaRange="Arbeitsgänge!$C$26:$C$78" noThreeD="1" sel="34" val="28"/>
</file>

<file path=xl/ctrlProps/ctrlProp117.xml><?xml version="1.0" encoding="utf-8"?>
<formControlPr xmlns="http://schemas.microsoft.com/office/spreadsheetml/2009/9/main" objectType="Drop" dropLines="10" dropStyle="combo" dx="17" fmlaLink="$B$50" fmlaRange="Arbeitsgänge!$C$26:$C$78" noThreeD="1" sel="26" val="23"/>
</file>

<file path=xl/ctrlProps/ctrlProp118.xml><?xml version="1.0" encoding="utf-8"?>
<formControlPr xmlns="http://schemas.microsoft.com/office/spreadsheetml/2009/9/main" objectType="Drop" dropLines="10" dropStyle="combo" dx="17" fmlaLink="$B$51" fmlaRange="Arbeitsgänge!$C$26:$C$78" noThreeD="1" sel="30" val="21"/>
</file>

<file path=xl/ctrlProps/ctrlProp119.xml><?xml version="1.0" encoding="utf-8"?>
<formControlPr xmlns="http://schemas.microsoft.com/office/spreadsheetml/2009/9/main" objectType="Drop" dropLines="10" dropStyle="combo" dx="17" fmlaLink="$B$52" fmlaRange="Arbeitsgänge!$C$26:$C$78" noThreeD="1" sel="32" val="23"/>
</file>

<file path=xl/ctrlProps/ctrlProp12.xml><?xml version="1.0" encoding="utf-8"?>
<formControlPr xmlns="http://schemas.microsoft.com/office/spreadsheetml/2009/9/main" objectType="Drop" dropLines="10" dropStyle="combo" dx="17" fmlaLink="$B$50" fmlaRange="Arbeitsgänge!$C$26:$C$78" noThreeD="1" sel="29" val="28"/>
</file>

<file path=xl/ctrlProps/ctrlProp120.xml><?xml version="1.0" encoding="utf-8"?>
<formControlPr xmlns="http://schemas.microsoft.com/office/spreadsheetml/2009/9/main" objectType="Drop" dropLines="10" dropStyle="combo" dx="17" fmlaLink="$B$53" fmlaRange="Arbeitsgänge!$C$26:$C$78" noThreeD="1" sel="41" val="35"/>
</file>

<file path=xl/ctrlProps/ctrlProp121.xml><?xml version="1.0" encoding="utf-8"?>
<formControlPr xmlns="http://schemas.microsoft.com/office/spreadsheetml/2009/9/main" objectType="Drop" dropLines="10" dropStyle="combo" dx="17" fmlaLink="$B$54" fmlaRange="Arbeitsgänge!$C$26:$C$78" noThreeD="1" sel="43" val="36"/>
</file>

<file path=xl/ctrlProps/ctrlProp122.xml><?xml version="1.0" encoding="utf-8"?>
<formControlPr xmlns="http://schemas.microsoft.com/office/spreadsheetml/2009/9/main" objectType="Drop" dropLines="10" dropStyle="combo" dx="17" fmlaLink="$B$55" fmlaRange="Arbeitsgänge!$C$26:$C$78" noThreeD="1" sel="49" val="43"/>
</file>

<file path=xl/ctrlProps/ctrlProp123.xml><?xml version="1.0" encoding="utf-8"?>
<formControlPr xmlns="http://schemas.microsoft.com/office/spreadsheetml/2009/9/main" objectType="Drop" dropLines="10" dropStyle="combo" dx="17" fmlaLink="$B$56" fmlaRange="Arbeitsgänge!$C$26:$C$78" noThreeD="1" sel="49" val="43"/>
</file>

<file path=xl/ctrlProps/ctrlProp124.xml><?xml version="1.0" encoding="utf-8"?>
<formControlPr xmlns="http://schemas.microsoft.com/office/spreadsheetml/2009/9/main" objectType="Drop" dropLines="10" dropStyle="combo" dx="17" fmlaLink="$B$26" fmlaRange="Prämien!$D$8:$M$37" noThreeD="1" val="0"/>
</file>

<file path=xl/ctrlProps/ctrlProp125.xml><?xml version="1.0" encoding="utf-8"?>
<formControlPr xmlns="http://schemas.microsoft.com/office/spreadsheetml/2009/9/main" objectType="Drop" dropLines="10" dropStyle="combo" dx="17" fmlaLink="$B$28" fmlaRange="Prämien!$D$8:$M$37" noThreeD="1" sel="30" val="20"/>
</file>

<file path=xl/ctrlProps/ctrlProp126.xml><?xml version="1.0" encoding="utf-8"?>
<formControlPr xmlns="http://schemas.microsoft.com/office/spreadsheetml/2009/9/main" objectType="Drop" dropLines="10" dropStyle="combo" dx="17" fmlaLink="$B$29" fmlaRange="Prämien!$D$8:$M$37" noThreeD="1" sel="30" val="20"/>
</file>

<file path=xl/ctrlProps/ctrlProp127.xml><?xml version="1.0" encoding="utf-8"?>
<formControlPr xmlns="http://schemas.microsoft.com/office/spreadsheetml/2009/9/main" objectType="Drop" dropLines="10" dropStyle="combo" dx="17" fmlaLink="$B$27" fmlaRange="Prämien!$D$8:$M$37" noThreeD="1" sel="25" val="20"/>
</file>

<file path=xl/ctrlProps/ctrlProp128.xml><?xml version="1.0" encoding="utf-8"?>
<formControlPr xmlns="http://schemas.microsoft.com/office/spreadsheetml/2009/9/main" objectType="Drop" dropLines="3" dropStyle="combo" dx="17" fmlaLink="$B$31" fmlaRange="Prämien!$Q$8:$Y$9" noThreeD="1" val="0"/>
</file>

<file path=xl/ctrlProps/ctrlProp129.xml><?xml version="1.0" encoding="utf-8"?>
<formControlPr xmlns="http://schemas.microsoft.com/office/spreadsheetml/2009/9/main" objectType="Drop" dropLines="6" dropStyle="combo" dx="17" fmlaLink="$V$5" fmlaRange="$T$4:$T$15" noThreeD="1" sel="6" val="4"/>
</file>

<file path=xl/ctrlProps/ctrlProp13.xml><?xml version="1.0" encoding="utf-8"?>
<formControlPr xmlns="http://schemas.microsoft.com/office/spreadsheetml/2009/9/main" objectType="Drop" dropLines="10" dropStyle="combo" dx="17" fmlaLink="$B$51" fmlaRange="Arbeitsgänge!$C$26:$C$78" noThreeD="1" sel="22" val="17"/>
</file>

<file path=xl/ctrlProps/ctrlProp130.xml><?xml version="1.0" encoding="utf-8"?>
<formControlPr xmlns="http://schemas.microsoft.com/office/spreadsheetml/2009/9/main" objectType="Drop" dropLines="6" dropStyle="combo" dx="17" fmlaLink="$X$5" fmlaRange="$T$4:$T$13" noThreeD="1" sel="6" val="4"/>
</file>

<file path=xl/ctrlProps/ctrlProp131.xml><?xml version="1.0" encoding="utf-8"?>
<formControlPr xmlns="http://schemas.microsoft.com/office/spreadsheetml/2009/9/main" objectType="Drop" dropLines="6" dropStyle="combo" dx="17" fmlaLink="$W$5" fmlaRange="$T$4:$T$15" noThreeD="1" sel="6" val="4"/>
</file>

<file path=xl/ctrlProps/ctrlProp132.xml><?xml version="1.0" encoding="utf-8"?>
<formControlPr xmlns="http://schemas.microsoft.com/office/spreadsheetml/2009/9/main" objectType="Drop" dropLines="6" dropStyle="combo" dx="17" fmlaLink="$Y$5" fmlaRange="$T$4:$T$13" noThreeD="1" sel="8" val="4"/>
</file>

<file path=xl/ctrlProps/ctrlProp133.xml><?xml version="1.0" encoding="utf-8"?>
<formControlPr xmlns="http://schemas.microsoft.com/office/spreadsheetml/2009/9/main" objectType="Drop" dropLines="6" dropStyle="combo" dx="17" fmlaLink="$Z$5" fmlaRange="$T$4:$T$13" noThreeD="1" sel="10" val="4"/>
</file>

<file path=xl/ctrlProps/ctrlProp134.xml><?xml version="1.0" encoding="utf-8"?>
<formControlPr xmlns="http://schemas.microsoft.com/office/spreadsheetml/2009/9/main" objectType="Drop" dropLines="10" dropStyle="combo" dx="17" fmlaLink="$B$46" fmlaRange="Arbeitsgänge!$C$26:$C$78" noThreeD="1" sel="19" val="17"/>
</file>

<file path=xl/ctrlProps/ctrlProp135.xml><?xml version="1.0" encoding="utf-8"?>
<formControlPr xmlns="http://schemas.microsoft.com/office/spreadsheetml/2009/9/main" objectType="Drop" dropLines="10" dropStyle="combo" dx="17" fmlaLink="$B$47" fmlaRange="Arbeitsgänge!$C$26:$C$78" noThreeD="1" sel="20" val="19"/>
</file>

<file path=xl/ctrlProps/ctrlProp136.xml><?xml version="1.0" encoding="utf-8"?>
<formControlPr xmlns="http://schemas.microsoft.com/office/spreadsheetml/2009/9/main" objectType="Drop" dropLines="10" dropStyle="combo" dx="17" fmlaLink="$B$48" fmlaRange="Arbeitsgänge!$C$26:$C$78" noThreeD="1" sel="22" val="13"/>
</file>

<file path=xl/ctrlProps/ctrlProp137.xml><?xml version="1.0" encoding="utf-8"?>
<formControlPr xmlns="http://schemas.microsoft.com/office/spreadsheetml/2009/9/main" objectType="Drop" dropLines="10" dropStyle="combo" dx="17" fmlaLink="$B$49" fmlaRange="Arbeitsgänge!$C$26:$C$78" noThreeD="1" sel="34" val="33"/>
</file>

<file path=xl/ctrlProps/ctrlProp138.xml><?xml version="1.0" encoding="utf-8"?>
<formControlPr xmlns="http://schemas.microsoft.com/office/spreadsheetml/2009/9/main" objectType="Drop" dropLines="10" dropStyle="combo" dx="17" fmlaLink="$B$50" fmlaRange="Arbeitsgänge!$C$26:$C$78" noThreeD="1" sel="26" val="25"/>
</file>

<file path=xl/ctrlProps/ctrlProp139.xml><?xml version="1.0" encoding="utf-8"?>
<formControlPr xmlns="http://schemas.microsoft.com/office/spreadsheetml/2009/9/main" objectType="Drop" dropLines="10" dropStyle="combo" dx="17" fmlaLink="$B$51" fmlaRange="Arbeitsgänge!$C$26:$C$78" noThreeD="1" sel="30" val="21"/>
</file>

<file path=xl/ctrlProps/ctrlProp14.xml><?xml version="1.0" encoding="utf-8"?>
<formControlPr xmlns="http://schemas.microsoft.com/office/spreadsheetml/2009/9/main" objectType="Drop" dropLines="10" dropStyle="combo" dx="17" fmlaLink="$B$52" fmlaRange="Arbeitsgänge!$C$26:$C$78" noThreeD="1" sel="22" val="17"/>
</file>

<file path=xl/ctrlProps/ctrlProp140.xml><?xml version="1.0" encoding="utf-8"?>
<formControlPr xmlns="http://schemas.microsoft.com/office/spreadsheetml/2009/9/main" objectType="Drop" dropLines="10" dropStyle="combo" dx="17" fmlaLink="$B$52" fmlaRange="Arbeitsgänge!$C$26:$C$78" noThreeD="1" sel="32" val="23"/>
</file>

<file path=xl/ctrlProps/ctrlProp141.xml><?xml version="1.0" encoding="utf-8"?>
<formControlPr xmlns="http://schemas.microsoft.com/office/spreadsheetml/2009/9/main" objectType="Drop" dropLines="10" dropStyle="combo" dx="17" fmlaLink="$B$53" fmlaRange="Arbeitsgänge!$C$26:$C$78" noThreeD="1" sel="41" val="35"/>
</file>

<file path=xl/ctrlProps/ctrlProp142.xml><?xml version="1.0" encoding="utf-8"?>
<formControlPr xmlns="http://schemas.microsoft.com/office/spreadsheetml/2009/9/main" objectType="Drop" dropLines="10" dropStyle="combo" dx="17" fmlaLink="$B$54" fmlaRange="Arbeitsgänge!$C$26:$C$78" noThreeD="1" sel="43" val="42"/>
</file>

<file path=xl/ctrlProps/ctrlProp143.xml><?xml version="1.0" encoding="utf-8"?>
<formControlPr xmlns="http://schemas.microsoft.com/office/spreadsheetml/2009/9/main" objectType="Drop" dropLines="10" dropStyle="combo" dx="17" fmlaLink="$B$55" fmlaRange="Arbeitsgänge!$C$26:$C$78" noThreeD="1" sel="49" val="43"/>
</file>

<file path=xl/ctrlProps/ctrlProp144.xml><?xml version="1.0" encoding="utf-8"?>
<formControlPr xmlns="http://schemas.microsoft.com/office/spreadsheetml/2009/9/main" objectType="Drop" dropLines="10" dropStyle="combo" dx="17" fmlaLink="$B$56" fmlaRange="Arbeitsgänge!$C$26:$C$78" noThreeD="1" sel="49" val="43"/>
</file>

<file path=xl/ctrlProps/ctrlProp145.xml><?xml version="1.0" encoding="utf-8"?>
<formControlPr xmlns="http://schemas.microsoft.com/office/spreadsheetml/2009/9/main" objectType="Drop" dropLines="10" dropStyle="combo" dx="17" fmlaLink="$B$26" fmlaRange="Prämien!$D$8:$M$37" noThreeD="1" val="0"/>
</file>

<file path=xl/ctrlProps/ctrlProp146.xml><?xml version="1.0" encoding="utf-8"?>
<formControlPr xmlns="http://schemas.microsoft.com/office/spreadsheetml/2009/9/main" objectType="Drop" dropLines="10" dropStyle="combo" dx="17" fmlaLink="$B$28" fmlaRange="Prämien!$D$8:$M$37" noThreeD="1" sel="30" val="20"/>
</file>

<file path=xl/ctrlProps/ctrlProp147.xml><?xml version="1.0" encoding="utf-8"?>
<formControlPr xmlns="http://schemas.microsoft.com/office/spreadsheetml/2009/9/main" objectType="Drop" dropLines="10" dropStyle="combo" dx="17" fmlaLink="$B$29" fmlaRange="Prämien!$D$8:$M$37" noThreeD="1" sel="30" val="20"/>
</file>

<file path=xl/ctrlProps/ctrlProp148.xml><?xml version="1.0" encoding="utf-8"?>
<formControlPr xmlns="http://schemas.microsoft.com/office/spreadsheetml/2009/9/main" objectType="Drop" dropLines="10" dropStyle="combo" dx="17" fmlaLink="$B$27" fmlaRange="Prämien!$D$8:$M$37" noThreeD="1" sel="26" val="20"/>
</file>

<file path=xl/ctrlProps/ctrlProp149.xml><?xml version="1.0" encoding="utf-8"?>
<formControlPr xmlns="http://schemas.microsoft.com/office/spreadsheetml/2009/9/main" objectType="Drop" dropLines="3" dropStyle="combo" dx="17" fmlaLink="$B$31" fmlaRange="Prämien!$Q$8:$Y$9" noThreeD="1" val="0"/>
</file>

<file path=xl/ctrlProps/ctrlProp15.xml><?xml version="1.0" encoding="utf-8"?>
<formControlPr xmlns="http://schemas.microsoft.com/office/spreadsheetml/2009/9/main" objectType="Drop" dropLines="10" dropStyle="combo" dx="17" fmlaLink="$B$53" fmlaRange="Arbeitsgänge!$C$26:$C$78" noThreeD="1" sel="49" val="43"/>
</file>

<file path=xl/ctrlProps/ctrlProp150.xml><?xml version="1.0" encoding="utf-8"?>
<formControlPr xmlns="http://schemas.microsoft.com/office/spreadsheetml/2009/9/main" objectType="Drop" dropLines="6" dropStyle="combo" dx="17" fmlaLink="$V$5" fmlaRange="$T$4:$T$15" noThreeD="1" sel="8" val="6"/>
</file>

<file path=xl/ctrlProps/ctrlProp151.xml><?xml version="1.0" encoding="utf-8"?>
<formControlPr xmlns="http://schemas.microsoft.com/office/spreadsheetml/2009/9/main" objectType="Drop" dropLines="6" dropStyle="combo" dx="17" fmlaLink="$X$5" fmlaRange="$T$4:$T$13" noThreeD="1" sel="10" val="4"/>
</file>

<file path=xl/ctrlProps/ctrlProp152.xml><?xml version="1.0" encoding="utf-8"?>
<formControlPr xmlns="http://schemas.microsoft.com/office/spreadsheetml/2009/9/main" objectType="Drop" dropLines="6" dropStyle="combo" dx="17" fmlaLink="$W$5" fmlaRange="$T$4:$T$15" noThreeD="1" sel="3" val="0"/>
</file>

<file path=xl/ctrlProps/ctrlProp153.xml><?xml version="1.0" encoding="utf-8"?>
<formControlPr xmlns="http://schemas.microsoft.com/office/spreadsheetml/2009/9/main" objectType="Drop" dropLines="6" dropStyle="combo" dx="17" fmlaLink="$Y$5" fmlaRange="$T$4:$T$13" noThreeD="1" sel="10" val="4"/>
</file>

<file path=xl/ctrlProps/ctrlProp154.xml><?xml version="1.0" encoding="utf-8"?>
<formControlPr xmlns="http://schemas.microsoft.com/office/spreadsheetml/2009/9/main" objectType="Drop" dropLines="6" dropStyle="combo" dx="17" fmlaLink="$Z$5" fmlaRange="$T$4:$T$13" noThreeD="1" sel="10" val="4"/>
</file>

<file path=xl/ctrlProps/ctrlProp155.xml><?xml version="1.0" encoding="utf-8"?>
<formControlPr xmlns="http://schemas.microsoft.com/office/spreadsheetml/2009/9/main" objectType="Drop" dropLines="10" dropStyle="combo" dx="17" fmlaLink="$B$46" fmlaRange="Arbeitsgänge!$C$26:$C$78" noThreeD="1" sel="19" val="17"/>
</file>

<file path=xl/ctrlProps/ctrlProp156.xml><?xml version="1.0" encoding="utf-8"?>
<formControlPr xmlns="http://schemas.microsoft.com/office/spreadsheetml/2009/9/main" objectType="Drop" dropLines="10" dropStyle="combo" dx="17" fmlaLink="$B$47" fmlaRange="Arbeitsgänge!$C$26:$C$78" noThreeD="1" sel="20" val="18"/>
</file>

<file path=xl/ctrlProps/ctrlProp157.xml><?xml version="1.0" encoding="utf-8"?>
<formControlPr xmlns="http://schemas.microsoft.com/office/spreadsheetml/2009/9/main" objectType="Drop" dropLines="10" dropStyle="combo" dx="17" fmlaLink="$B$48" fmlaRange="Arbeitsgänge!$C$26:$C$78" noThreeD="1" sel="21" val="16"/>
</file>

<file path=xl/ctrlProps/ctrlProp158.xml><?xml version="1.0" encoding="utf-8"?>
<formControlPr xmlns="http://schemas.microsoft.com/office/spreadsheetml/2009/9/main" objectType="Drop" dropLines="10" dropStyle="combo" dx="17" fmlaLink="$B$49" fmlaRange="Arbeitsgänge!$C$26:$C$78" noThreeD="1" sel="34" val="28"/>
</file>

<file path=xl/ctrlProps/ctrlProp159.xml><?xml version="1.0" encoding="utf-8"?>
<formControlPr xmlns="http://schemas.microsoft.com/office/spreadsheetml/2009/9/main" objectType="Drop" dropLines="10" dropStyle="combo" dx="17" fmlaLink="$B$50" fmlaRange="Arbeitsgänge!$C$26:$C$78" noThreeD="1" sel="22" val="17"/>
</file>

<file path=xl/ctrlProps/ctrlProp16.xml><?xml version="1.0" encoding="utf-8"?>
<formControlPr xmlns="http://schemas.microsoft.com/office/spreadsheetml/2009/9/main" objectType="Drop" dropLines="10" dropStyle="combo" dx="17" fmlaLink="$B$54" fmlaRange="Arbeitsgänge!$C$26:$C$78" noThreeD="1" sel="49" val="43"/>
</file>

<file path=xl/ctrlProps/ctrlProp160.xml><?xml version="1.0" encoding="utf-8"?>
<formControlPr xmlns="http://schemas.microsoft.com/office/spreadsheetml/2009/9/main" objectType="Drop" dropLines="10" dropStyle="combo" dx="17" fmlaLink="$B$51" fmlaRange="Arbeitsgänge!$C$26:$C$78" noThreeD="1" sel="34" val="29"/>
</file>

<file path=xl/ctrlProps/ctrlProp161.xml><?xml version="1.0" encoding="utf-8"?>
<formControlPr xmlns="http://schemas.microsoft.com/office/spreadsheetml/2009/9/main" objectType="Drop" dropLines="10" dropStyle="combo" dx="17" fmlaLink="$B$52" fmlaRange="Arbeitsgänge!$C$26:$C$78" noThreeD="1" sel="34" val="31"/>
</file>

<file path=xl/ctrlProps/ctrlProp162.xml><?xml version="1.0" encoding="utf-8"?>
<formControlPr xmlns="http://schemas.microsoft.com/office/spreadsheetml/2009/9/main" objectType="Drop" dropLines="10" dropStyle="combo" dx="17" fmlaLink="$B$53" fmlaRange="Arbeitsgänge!$C$26:$C$78" noThreeD="1" sel="49" val="40"/>
</file>

<file path=xl/ctrlProps/ctrlProp163.xml><?xml version="1.0" encoding="utf-8"?>
<formControlPr xmlns="http://schemas.microsoft.com/office/spreadsheetml/2009/9/main" objectType="Drop" dropLines="10" dropStyle="combo" dx="17" fmlaLink="$B$54" fmlaRange="Arbeitsgänge!$C$26:$C$78" noThreeD="1" sel="43" val="36"/>
</file>

<file path=xl/ctrlProps/ctrlProp164.xml><?xml version="1.0" encoding="utf-8"?>
<formControlPr xmlns="http://schemas.microsoft.com/office/spreadsheetml/2009/9/main" objectType="Drop" dropLines="10" dropStyle="combo" dx="17" fmlaLink="$B$55" fmlaRange="Arbeitsgänge!$C$26:$C$78" noThreeD="1" sel="49" val="43"/>
</file>

<file path=xl/ctrlProps/ctrlProp165.xml><?xml version="1.0" encoding="utf-8"?>
<formControlPr xmlns="http://schemas.microsoft.com/office/spreadsheetml/2009/9/main" objectType="Drop" dropLines="10" dropStyle="combo" dx="17" fmlaLink="$B$56" fmlaRange="Arbeitsgänge!$C$26:$C$78" noThreeD="1" sel="49" val="43"/>
</file>

<file path=xl/ctrlProps/ctrlProp166.xml><?xml version="1.0" encoding="utf-8"?>
<formControlPr xmlns="http://schemas.microsoft.com/office/spreadsheetml/2009/9/main" objectType="Drop" dropLines="10" dropStyle="combo" dx="17" fmlaLink="$B$26" fmlaRange="Prämien!$D$8:$M$37" noThreeD="1" val="0"/>
</file>

<file path=xl/ctrlProps/ctrlProp167.xml><?xml version="1.0" encoding="utf-8"?>
<formControlPr xmlns="http://schemas.microsoft.com/office/spreadsheetml/2009/9/main" objectType="Drop" dropLines="10" dropStyle="combo" dx="17" fmlaLink="$B$28" fmlaRange="Prämien!$D$8:$M$37" noThreeD="1" sel="30" val="20"/>
</file>

<file path=xl/ctrlProps/ctrlProp168.xml><?xml version="1.0" encoding="utf-8"?>
<formControlPr xmlns="http://schemas.microsoft.com/office/spreadsheetml/2009/9/main" objectType="Drop" dropLines="10" dropStyle="combo" dx="17" fmlaLink="$B$29" fmlaRange="Prämien!$D$8:$M$37" noThreeD="1" sel="30" val="20"/>
</file>

<file path=xl/ctrlProps/ctrlProp169.xml><?xml version="1.0" encoding="utf-8"?>
<formControlPr xmlns="http://schemas.microsoft.com/office/spreadsheetml/2009/9/main" objectType="Drop" dropLines="10" dropStyle="combo" dx="17" fmlaLink="$B$27" fmlaRange="Prämien!$D$8:$M$37" noThreeD="1" sel="24" val="20"/>
</file>

<file path=xl/ctrlProps/ctrlProp17.xml><?xml version="1.0" encoding="utf-8"?>
<formControlPr xmlns="http://schemas.microsoft.com/office/spreadsheetml/2009/9/main" objectType="Drop" dropLines="10" dropStyle="combo" dx="17" fmlaLink="$B$55" fmlaRange="Arbeitsgänge!$C$26:$C$78" noThreeD="1" sel="49" val="43"/>
</file>

<file path=xl/ctrlProps/ctrlProp170.xml><?xml version="1.0" encoding="utf-8"?>
<formControlPr xmlns="http://schemas.microsoft.com/office/spreadsheetml/2009/9/main" objectType="Drop" dropLines="3" dropStyle="combo" dx="17" fmlaLink="$B$31" fmlaRange="Prämien!$Q$8:$Y$9" noThreeD="1" val="0"/>
</file>

<file path=xl/ctrlProps/ctrlProp171.xml><?xml version="1.0" encoding="utf-8"?>
<formControlPr xmlns="http://schemas.microsoft.com/office/spreadsheetml/2009/9/main" objectType="Drop" dropLines="6" dropStyle="combo" dx="17" fmlaLink="$V$5" fmlaRange="$T$4:$T$15" noThreeD="1" sel="3" val="0"/>
</file>

<file path=xl/ctrlProps/ctrlProp172.xml><?xml version="1.0" encoding="utf-8"?>
<formControlPr xmlns="http://schemas.microsoft.com/office/spreadsheetml/2009/9/main" objectType="Drop" dropLines="6" dropStyle="combo" dx="17" fmlaLink="$X$5" fmlaRange="$T$4:$T$13" noThreeD="1" sel="2" val="0"/>
</file>

<file path=xl/ctrlProps/ctrlProp173.xml><?xml version="1.0" encoding="utf-8"?>
<formControlPr xmlns="http://schemas.microsoft.com/office/spreadsheetml/2009/9/main" objectType="Drop" dropLines="6" dropStyle="combo" dx="17" fmlaLink="$W$5" fmlaRange="$T$4:$T$15" noThreeD="1" sel="2" val="0"/>
</file>

<file path=xl/ctrlProps/ctrlProp174.xml><?xml version="1.0" encoding="utf-8"?>
<formControlPr xmlns="http://schemas.microsoft.com/office/spreadsheetml/2009/9/main" objectType="Drop" dropLines="6" dropStyle="combo" dx="17" fmlaLink="$Y$5" fmlaRange="$T$4:$T$13" noThreeD="1" sel="10" val="4"/>
</file>

<file path=xl/ctrlProps/ctrlProp175.xml><?xml version="1.0" encoding="utf-8"?>
<formControlPr xmlns="http://schemas.microsoft.com/office/spreadsheetml/2009/9/main" objectType="Drop" dropLines="6" dropStyle="combo" dx="17" fmlaLink="$Z$5" fmlaRange="$T$4:$T$13" noThreeD="1" sel="10" val="4"/>
</file>

<file path=xl/ctrlProps/ctrlProp176.xml><?xml version="1.0" encoding="utf-8"?>
<formControlPr xmlns="http://schemas.microsoft.com/office/spreadsheetml/2009/9/main" objectType="Drop" dropLines="10" dropStyle="combo" dx="17" fmlaLink="$B$46" fmlaRange="Arbeitsgänge!$C$26:$C$78" noThreeD="1" sel="19" val="17"/>
</file>

<file path=xl/ctrlProps/ctrlProp177.xml><?xml version="1.0" encoding="utf-8"?>
<formControlPr xmlns="http://schemas.microsoft.com/office/spreadsheetml/2009/9/main" objectType="Drop" dropLines="10" dropStyle="combo" dx="17" fmlaLink="$B$47" fmlaRange="Arbeitsgänge!$C$26:$C$78" noThreeD="1" sel="20" val="18"/>
</file>

<file path=xl/ctrlProps/ctrlProp178.xml><?xml version="1.0" encoding="utf-8"?>
<formControlPr xmlns="http://schemas.microsoft.com/office/spreadsheetml/2009/9/main" objectType="Drop" dropLines="10" dropStyle="combo" dx="17" fmlaLink="$B$48" fmlaRange="Arbeitsgänge!$C$26:$C$78" noThreeD="1" sel="21" val="16"/>
</file>

<file path=xl/ctrlProps/ctrlProp179.xml><?xml version="1.0" encoding="utf-8"?>
<formControlPr xmlns="http://schemas.microsoft.com/office/spreadsheetml/2009/9/main" objectType="Drop" dropLines="10" dropStyle="combo" dx="17" fmlaLink="$B$49" fmlaRange="Arbeitsgänge!$C$26:$C$78" noThreeD="1" sel="34" val="28"/>
</file>

<file path=xl/ctrlProps/ctrlProp18.xml><?xml version="1.0" encoding="utf-8"?>
<formControlPr xmlns="http://schemas.microsoft.com/office/spreadsheetml/2009/9/main" objectType="Drop" dropLines="10" dropStyle="combo" dx="17" fmlaLink="$B$56" fmlaRange="Arbeitsgänge!$C$26:$C$78" noThreeD="1" sel="49" val="43"/>
</file>

<file path=xl/ctrlProps/ctrlProp180.xml><?xml version="1.0" encoding="utf-8"?>
<formControlPr xmlns="http://schemas.microsoft.com/office/spreadsheetml/2009/9/main" objectType="Drop" dropLines="10" dropStyle="combo" dx="17" fmlaLink="$B$50" fmlaRange="Arbeitsgänge!$C$26:$C$78" noThreeD="1" sel="23" val="22"/>
</file>

<file path=xl/ctrlProps/ctrlProp181.xml><?xml version="1.0" encoding="utf-8"?>
<formControlPr xmlns="http://schemas.microsoft.com/office/spreadsheetml/2009/9/main" objectType="Drop" dropLines="10" dropStyle="combo" dx="17" fmlaLink="$B$51" fmlaRange="Arbeitsgänge!$C$26:$C$78" noThreeD="1" sel="34" val="29"/>
</file>

<file path=xl/ctrlProps/ctrlProp182.xml><?xml version="1.0" encoding="utf-8"?>
<formControlPr xmlns="http://schemas.microsoft.com/office/spreadsheetml/2009/9/main" objectType="Drop" dropLines="10" dropStyle="combo" dx="17" fmlaLink="$B$52" fmlaRange="Arbeitsgänge!$C$26:$C$78" noThreeD="1" sel="34" val="31"/>
</file>

<file path=xl/ctrlProps/ctrlProp183.xml><?xml version="1.0" encoding="utf-8"?>
<formControlPr xmlns="http://schemas.microsoft.com/office/spreadsheetml/2009/9/main" objectType="Drop" dropLines="10" dropStyle="combo" dx="17" fmlaLink="$B$53" fmlaRange="Arbeitsgänge!$C$26:$C$78" noThreeD="1" sel="49" val="40"/>
</file>

<file path=xl/ctrlProps/ctrlProp184.xml><?xml version="1.0" encoding="utf-8"?>
<formControlPr xmlns="http://schemas.microsoft.com/office/spreadsheetml/2009/9/main" objectType="Drop" dropLines="10" dropStyle="combo" dx="17" fmlaLink="$B$54" fmlaRange="Arbeitsgänge!$C$26:$C$78" noThreeD="1" sel="43" val="36"/>
</file>

<file path=xl/ctrlProps/ctrlProp185.xml><?xml version="1.0" encoding="utf-8"?>
<formControlPr xmlns="http://schemas.microsoft.com/office/spreadsheetml/2009/9/main" objectType="Drop" dropLines="10" dropStyle="combo" dx="17" fmlaLink="$B$55" fmlaRange="Arbeitsgänge!$C$26:$C$78" noThreeD="1" sel="49" val="43"/>
</file>

<file path=xl/ctrlProps/ctrlProp186.xml><?xml version="1.0" encoding="utf-8"?>
<formControlPr xmlns="http://schemas.microsoft.com/office/spreadsheetml/2009/9/main" objectType="Drop" dropLines="10" dropStyle="combo" dx="17" fmlaLink="$B$56" fmlaRange="Arbeitsgänge!$C$26:$C$78" noThreeD="1" sel="49" val="43"/>
</file>

<file path=xl/ctrlProps/ctrlProp187.xml><?xml version="1.0" encoding="utf-8"?>
<formControlPr xmlns="http://schemas.microsoft.com/office/spreadsheetml/2009/9/main" objectType="Drop" dropLines="10" dropStyle="combo" dx="17" fmlaLink="$B$26" fmlaRange="Prämien!$D$8:$M$37" noThreeD="1" val="0"/>
</file>

<file path=xl/ctrlProps/ctrlProp188.xml><?xml version="1.0" encoding="utf-8"?>
<formControlPr xmlns="http://schemas.microsoft.com/office/spreadsheetml/2009/9/main" objectType="Drop" dropLines="10" dropStyle="combo" dx="17" fmlaLink="$B$28" fmlaRange="Prämien!$D$8:$M$37" noThreeD="1" sel="30" val="20"/>
</file>

<file path=xl/ctrlProps/ctrlProp189.xml><?xml version="1.0" encoding="utf-8"?>
<formControlPr xmlns="http://schemas.microsoft.com/office/spreadsheetml/2009/9/main" objectType="Drop" dropLines="10" dropStyle="combo" dx="17" fmlaLink="$B$29" fmlaRange="Prämien!$D$8:$M$37" noThreeD="1" sel="30" val="20"/>
</file>

<file path=xl/ctrlProps/ctrlProp19.xml><?xml version="1.0" encoding="utf-8"?>
<formControlPr xmlns="http://schemas.microsoft.com/office/spreadsheetml/2009/9/main" objectType="Drop" dropLines="10" dropStyle="combo" dx="17" fmlaLink="$B$26" fmlaRange="Prämien!$D$8:$M$37" noThreeD="1" val="0"/>
</file>

<file path=xl/ctrlProps/ctrlProp190.xml><?xml version="1.0" encoding="utf-8"?>
<formControlPr xmlns="http://schemas.microsoft.com/office/spreadsheetml/2009/9/main" objectType="Drop" dropLines="10" dropStyle="combo" dx="17" fmlaLink="$B$27" fmlaRange="Prämien!$D$8:$M$37" noThreeD="1" sel="25" val="20"/>
</file>

<file path=xl/ctrlProps/ctrlProp191.xml><?xml version="1.0" encoding="utf-8"?>
<formControlPr xmlns="http://schemas.microsoft.com/office/spreadsheetml/2009/9/main" objectType="Drop" dropLines="3" dropStyle="combo" dx="17" fmlaLink="$B$31" fmlaRange="Prämien!$Q$8:$Y$9" noThreeD="1" val="0"/>
</file>

<file path=xl/ctrlProps/ctrlProp192.xml><?xml version="1.0" encoding="utf-8"?>
<formControlPr xmlns="http://schemas.microsoft.com/office/spreadsheetml/2009/9/main" objectType="Drop" dropLines="6" dropStyle="combo" dx="17" fmlaLink="$V$5" fmlaRange="$T$4:$T$15" noThreeD="1" sel="2" val="0"/>
</file>

<file path=xl/ctrlProps/ctrlProp193.xml><?xml version="1.0" encoding="utf-8"?>
<formControlPr xmlns="http://schemas.microsoft.com/office/spreadsheetml/2009/9/main" objectType="Drop" dropLines="6" dropStyle="combo" dx="17" fmlaLink="$X$5" fmlaRange="$T$4:$T$13" noThreeD="1" val="0"/>
</file>

<file path=xl/ctrlProps/ctrlProp194.xml><?xml version="1.0" encoding="utf-8"?>
<formControlPr xmlns="http://schemas.microsoft.com/office/spreadsheetml/2009/9/main" objectType="Drop" dropLines="6" dropStyle="combo" dx="17" fmlaLink="$W$5" fmlaRange="$T$4:$T$15" noThreeD="1" val="0"/>
</file>

<file path=xl/ctrlProps/ctrlProp195.xml><?xml version="1.0" encoding="utf-8"?>
<formControlPr xmlns="http://schemas.microsoft.com/office/spreadsheetml/2009/9/main" objectType="Drop" dropLines="6" dropStyle="combo" dx="17" fmlaLink="$Y$5" fmlaRange="$T$4:$T$13" noThreeD="1" val="0"/>
</file>

<file path=xl/ctrlProps/ctrlProp196.xml><?xml version="1.0" encoding="utf-8"?>
<formControlPr xmlns="http://schemas.microsoft.com/office/spreadsheetml/2009/9/main" objectType="Drop" dropLines="6" dropStyle="combo" dx="17" fmlaLink="$Z$5" fmlaRange="$T$4:$T$13" noThreeD="1" sel="10" val="4"/>
</file>

<file path=xl/ctrlProps/ctrlProp197.xml><?xml version="1.0" encoding="utf-8"?>
<formControlPr xmlns="http://schemas.microsoft.com/office/spreadsheetml/2009/9/main" objectType="Drop" dropLines="10" dropStyle="combo" dx="17" fmlaLink="$B$46" fmlaRange="Arbeitsgänge!$C$26:$C$78" noThreeD="1" sel="19" val="17"/>
</file>

<file path=xl/ctrlProps/ctrlProp198.xml><?xml version="1.0" encoding="utf-8"?>
<formControlPr xmlns="http://schemas.microsoft.com/office/spreadsheetml/2009/9/main" objectType="Drop" dropLines="10" dropStyle="combo" dx="17" fmlaLink="$B$47" fmlaRange="Arbeitsgänge!$C$26:$C$78" noThreeD="1" sel="20" val="18"/>
</file>

<file path=xl/ctrlProps/ctrlProp199.xml><?xml version="1.0" encoding="utf-8"?>
<formControlPr xmlns="http://schemas.microsoft.com/office/spreadsheetml/2009/9/main" objectType="Drop" dropLines="10" dropStyle="combo" dx="17" fmlaLink="$B$48" fmlaRange="Arbeitsgänge!$C$26:$C$78" noThreeD="1" sel="21" val="16"/>
</file>

<file path=xl/ctrlProps/ctrlProp2.xml><?xml version="1.0" encoding="utf-8"?>
<formControlPr xmlns="http://schemas.microsoft.com/office/spreadsheetml/2009/9/main" objectType="CheckBox" fmlaLink="$S$25" lockText="1" noThreeD="1"/>
</file>

<file path=xl/ctrlProps/ctrlProp20.xml><?xml version="1.0" encoding="utf-8"?>
<formControlPr xmlns="http://schemas.microsoft.com/office/spreadsheetml/2009/9/main" objectType="Drop" dropLines="10" dropStyle="combo" dx="17" fmlaLink="$B$28" fmlaRange="Prämien!$D$8:$M$37" noThreeD="1" sel="30" val="20"/>
</file>

<file path=xl/ctrlProps/ctrlProp200.xml><?xml version="1.0" encoding="utf-8"?>
<formControlPr xmlns="http://schemas.microsoft.com/office/spreadsheetml/2009/9/main" objectType="Drop" dropLines="10" dropStyle="combo" dx="17" fmlaLink="$B$49" fmlaRange="Arbeitsgänge!$C$26:$C$78" noThreeD="1" sel="34" val="28"/>
</file>

<file path=xl/ctrlProps/ctrlProp201.xml><?xml version="1.0" encoding="utf-8"?>
<formControlPr xmlns="http://schemas.microsoft.com/office/spreadsheetml/2009/9/main" objectType="Drop" dropLines="10" dropStyle="combo" dx="17" fmlaLink="$B$50" fmlaRange="Arbeitsgänge!$C$26:$C$78" noThreeD="1" sel="24" val="23"/>
</file>

<file path=xl/ctrlProps/ctrlProp202.xml><?xml version="1.0" encoding="utf-8"?>
<formControlPr xmlns="http://schemas.microsoft.com/office/spreadsheetml/2009/9/main" objectType="Drop" dropLines="10" dropStyle="combo" dx="17" fmlaLink="$B$51" fmlaRange="Arbeitsgänge!$C$26:$C$78" noThreeD="1" sel="34" val="36"/>
</file>

<file path=xl/ctrlProps/ctrlProp203.xml><?xml version="1.0" encoding="utf-8"?>
<formControlPr xmlns="http://schemas.microsoft.com/office/spreadsheetml/2009/9/main" objectType="Drop" dropLines="10" dropStyle="combo" dx="17" fmlaLink="$B$52" fmlaRange="Arbeitsgänge!$C$26:$C$78" noThreeD="1" sel="34" val="31"/>
</file>

<file path=xl/ctrlProps/ctrlProp204.xml><?xml version="1.0" encoding="utf-8"?>
<formControlPr xmlns="http://schemas.microsoft.com/office/spreadsheetml/2009/9/main" objectType="Drop" dropLines="10" dropStyle="combo" dx="17" fmlaLink="$B$53" fmlaRange="Arbeitsgänge!$C$26:$C$78" noThreeD="1" sel="49" val="40"/>
</file>

<file path=xl/ctrlProps/ctrlProp205.xml><?xml version="1.0" encoding="utf-8"?>
<formControlPr xmlns="http://schemas.microsoft.com/office/spreadsheetml/2009/9/main" objectType="Drop" dropLines="10" dropStyle="combo" dx="17" fmlaLink="$B$54" fmlaRange="Arbeitsgänge!$C$26:$C$78" noThreeD="1" sel="43" val="36"/>
</file>

<file path=xl/ctrlProps/ctrlProp206.xml><?xml version="1.0" encoding="utf-8"?>
<formControlPr xmlns="http://schemas.microsoft.com/office/spreadsheetml/2009/9/main" objectType="Drop" dropLines="10" dropStyle="combo" dx="17" fmlaLink="$B$55" fmlaRange="Arbeitsgänge!$C$26:$C$78" noThreeD="1" sel="49" val="43"/>
</file>

<file path=xl/ctrlProps/ctrlProp207.xml><?xml version="1.0" encoding="utf-8"?>
<formControlPr xmlns="http://schemas.microsoft.com/office/spreadsheetml/2009/9/main" objectType="Drop" dropLines="10" dropStyle="combo" dx="17" fmlaLink="$B$56" fmlaRange="Arbeitsgänge!$C$26:$C$78" noThreeD="1" sel="49" val="43"/>
</file>

<file path=xl/ctrlProps/ctrlProp208.xml><?xml version="1.0" encoding="utf-8"?>
<formControlPr xmlns="http://schemas.microsoft.com/office/spreadsheetml/2009/9/main" objectType="Drop" dropLines="10" dropStyle="combo" dx="17" fmlaLink="$B$26" fmlaRange="Prämien!$D$8:$M$37" noThreeD="1" val="0"/>
</file>

<file path=xl/ctrlProps/ctrlProp209.xml><?xml version="1.0" encoding="utf-8"?>
<formControlPr xmlns="http://schemas.microsoft.com/office/spreadsheetml/2009/9/main" objectType="Drop" dropLines="10" dropStyle="combo" dx="17" fmlaLink="$B$28" fmlaRange="Prämien!$D$8:$M$37" noThreeD="1" sel="30" val="20"/>
</file>

<file path=xl/ctrlProps/ctrlProp21.xml><?xml version="1.0" encoding="utf-8"?>
<formControlPr xmlns="http://schemas.microsoft.com/office/spreadsheetml/2009/9/main" objectType="Drop" dropLines="10" dropStyle="combo" dx="17" fmlaLink="$B$29" fmlaRange="Prämien!$D$8:$M$37" noThreeD="1" sel="30" val="20"/>
</file>

<file path=xl/ctrlProps/ctrlProp210.xml><?xml version="1.0" encoding="utf-8"?>
<formControlPr xmlns="http://schemas.microsoft.com/office/spreadsheetml/2009/9/main" objectType="Drop" dropLines="10" dropStyle="combo" dx="17" fmlaLink="$B$29" fmlaRange="Prämien!$D$8:$M$37" noThreeD="1" sel="30" val="20"/>
</file>

<file path=xl/ctrlProps/ctrlProp211.xml><?xml version="1.0" encoding="utf-8"?>
<formControlPr xmlns="http://schemas.microsoft.com/office/spreadsheetml/2009/9/main" objectType="Drop" dropLines="10" dropStyle="combo" dx="17" fmlaLink="$B$27" fmlaRange="Prämien!$D$8:$M$37" noThreeD="1" sel="25" val="20"/>
</file>

<file path=xl/ctrlProps/ctrlProp212.xml><?xml version="1.0" encoding="utf-8"?>
<formControlPr xmlns="http://schemas.microsoft.com/office/spreadsheetml/2009/9/main" objectType="Drop" dropLines="3" dropStyle="combo" dx="17" fmlaLink="$B$31" fmlaRange="Prämien!$Q$8:$Y$9" noThreeD="1" val="0"/>
</file>

<file path=xl/ctrlProps/ctrlProp213.xml><?xml version="1.0" encoding="utf-8"?>
<formControlPr xmlns="http://schemas.microsoft.com/office/spreadsheetml/2009/9/main" objectType="Drop" dropLines="6" dropStyle="combo" dx="17" fmlaLink="$V$5" fmlaRange="$T$4:$T$15" noThreeD="1" val="0"/>
</file>

<file path=xl/ctrlProps/ctrlProp214.xml><?xml version="1.0" encoding="utf-8"?>
<formControlPr xmlns="http://schemas.microsoft.com/office/spreadsheetml/2009/9/main" objectType="CheckBox" checked="Checked" fmlaLink="$R$19" lockText="1" noThreeD="1"/>
</file>

<file path=xl/ctrlProps/ctrlProp215.xml><?xml version="1.0" encoding="utf-8"?>
<formControlPr xmlns="http://schemas.microsoft.com/office/spreadsheetml/2009/9/main" objectType="CheckBox" fmlaLink="$R$20" lockText="1" noThreeD="1"/>
</file>

<file path=xl/ctrlProps/ctrlProp216.xml><?xml version="1.0" encoding="utf-8"?>
<formControlPr xmlns="http://schemas.microsoft.com/office/spreadsheetml/2009/9/main" objectType="CheckBox" fmlaLink="$R$21" lockText="1" noThreeD="1"/>
</file>

<file path=xl/ctrlProps/ctrlProp217.xml><?xml version="1.0" encoding="utf-8"?>
<formControlPr xmlns="http://schemas.microsoft.com/office/spreadsheetml/2009/9/main" objectType="CheckBox" fmlaLink="$R$22" lockText="1" noThreeD="1"/>
</file>

<file path=xl/ctrlProps/ctrlProp218.xml><?xml version="1.0" encoding="utf-8"?>
<formControlPr xmlns="http://schemas.microsoft.com/office/spreadsheetml/2009/9/main" objectType="CheckBox" fmlaLink="$R$23" lockText="1" noThreeD="1"/>
</file>

<file path=xl/ctrlProps/ctrlProp219.xml><?xml version="1.0" encoding="utf-8"?>
<formControlPr xmlns="http://schemas.microsoft.com/office/spreadsheetml/2009/9/main" objectType="CheckBox" checked="Checked" fmlaLink="$U$19" lockText="1" noThreeD="1"/>
</file>

<file path=xl/ctrlProps/ctrlProp22.xml><?xml version="1.0" encoding="utf-8"?>
<formControlPr xmlns="http://schemas.microsoft.com/office/spreadsheetml/2009/9/main" objectType="Drop" dropLines="10" dropStyle="combo" dx="17" fmlaLink="$B$27" fmlaRange="Prämien!$D$8:$M$37" noThreeD="1" sel="25" val="20"/>
</file>

<file path=xl/ctrlProps/ctrlProp220.xml><?xml version="1.0" encoding="utf-8"?>
<formControlPr xmlns="http://schemas.microsoft.com/office/spreadsheetml/2009/9/main" objectType="CheckBox" fmlaLink="$U$20" lockText="1" noThreeD="1"/>
</file>

<file path=xl/ctrlProps/ctrlProp221.xml><?xml version="1.0" encoding="utf-8"?>
<formControlPr xmlns="http://schemas.microsoft.com/office/spreadsheetml/2009/9/main" objectType="CheckBox" fmlaLink="$U$21" lockText="1" noThreeD="1"/>
</file>

<file path=xl/ctrlProps/ctrlProp222.xml><?xml version="1.0" encoding="utf-8"?>
<formControlPr xmlns="http://schemas.microsoft.com/office/spreadsheetml/2009/9/main" objectType="CheckBox" fmlaLink="$U$22" lockText="1" noThreeD="1"/>
</file>

<file path=xl/ctrlProps/ctrlProp223.xml><?xml version="1.0" encoding="utf-8"?>
<formControlPr xmlns="http://schemas.microsoft.com/office/spreadsheetml/2009/9/main" objectType="CheckBox" fmlaLink="$U$23" lockText="1" noThreeD="1"/>
</file>

<file path=xl/ctrlProps/ctrlProp224.xml><?xml version="1.0" encoding="utf-8"?>
<formControlPr xmlns="http://schemas.microsoft.com/office/spreadsheetml/2009/9/main" objectType="CheckBox" checked="Checked" fmlaLink="$X$19" lockText="1" noThreeD="1"/>
</file>

<file path=xl/ctrlProps/ctrlProp225.xml><?xml version="1.0" encoding="utf-8"?>
<formControlPr xmlns="http://schemas.microsoft.com/office/spreadsheetml/2009/9/main" objectType="CheckBox" fmlaLink="$X$20" lockText="1" noThreeD="1"/>
</file>

<file path=xl/ctrlProps/ctrlProp226.xml><?xml version="1.0" encoding="utf-8"?>
<formControlPr xmlns="http://schemas.microsoft.com/office/spreadsheetml/2009/9/main" objectType="CheckBox" fmlaLink="$X$21" lockText="1" noThreeD="1"/>
</file>

<file path=xl/ctrlProps/ctrlProp227.xml><?xml version="1.0" encoding="utf-8"?>
<formControlPr xmlns="http://schemas.microsoft.com/office/spreadsheetml/2009/9/main" objectType="CheckBox" fmlaLink="$X$22" lockText="1" noThreeD="1"/>
</file>

<file path=xl/ctrlProps/ctrlProp228.xml><?xml version="1.0" encoding="utf-8"?>
<formControlPr xmlns="http://schemas.microsoft.com/office/spreadsheetml/2009/9/main" objectType="CheckBox" fmlaLink="$X$23" lockText="1" noThreeD="1"/>
</file>

<file path=xl/ctrlProps/ctrlProp229.xml><?xml version="1.0" encoding="utf-8"?>
<formControlPr xmlns="http://schemas.microsoft.com/office/spreadsheetml/2009/9/main" objectType="Drop" dropLines="10" dropStyle="combo" dx="17" fmlaLink="$B$45" fmlaRange="Arbeitsgänge!$C$26:$C$78" noThreeD="1" sel="22" val="15"/>
</file>

<file path=xl/ctrlProps/ctrlProp23.xml><?xml version="1.0" encoding="utf-8"?>
<formControlPr xmlns="http://schemas.microsoft.com/office/spreadsheetml/2009/9/main" objectType="Drop" dropLines="3" dropStyle="combo" dx="17" fmlaLink="$B$31" fmlaRange="Prämien!$Q$8:$Y$9" noThreeD="1" val="0"/>
</file>

<file path=xl/ctrlProps/ctrlProp230.xml><?xml version="1.0" encoding="utf-8"?>
<formControlPr xmlns="http://schemas.microsoft.com/office/spreadsheetml/2009/9/main" objectType="Drop" dropLines="10" dropStyle="combo" dx="17" fmlaLink="$B$46" fmlaRange="Arbeitsgänge!$C$26:$C$80" noThreeD="1" val="0"/>
</file>

<file path=xl/ctrlProps/ctrlProp231.xml><?xml version="1.0" encoding="utf-8"?>
<formControlPr xmlns="http://schemas.microsoft.com/office/spreadsheetml/2009/9/main" objectType="Drop" dropLines="10" dropStyle="combo" dx="17" fmlaLink="$B$47" fmlaRange="Arbeitsgänge!$C$26:$C$80" noThreeD="1" sel="6" val="0"/>
</file>

<file path=xl/ctrlProps/ctrlProp232.xml><?xml version="1.0" encoding="utf-8"?>
<formControlPr xmlns="http://schemas.microsoft.com/office/spreadsheetml/2009/9/main" objectType="Drop" dropLines="10" dropStyle="combo" dx="17" fmlaLink="$B$48" fmlaRange="Arbeitsgänge!$C$26:$C$80" noThreeD="1" sel="8" val="3"/>
</file>

<file path=xl/ctrlProps/ctrlProp233.xml><?xml version="1.0" encoding="utf-8"?>
<formControlPr xmlns="http://schemas.microsoft.com/office/spreadsheetml/2009/9/main" objectType="Drop" dropLines="10" dropStyle="combo" dx="17" fmlaLink="$B$49" fmlaRange="Arbeitsgänge!$C$26:$C$80" noThreeD="1" sel="22" val="21"/>
</file>

<file path=xl/ctrlProps/ctrlProp234.xml><?xml version="1.0" encoding="utf-8"?>
<formControlPr xmlns="http://schemas.microsoft.com/office/spreadsheetml/2009/9/main" objectType="Drop" dropLines="10" dropStyle="combo" dx="17" fmlaLink="$B$50" fmlaRange="Arbeitsgänge!$C$26:$C$80" noThreeD="1" sel="7" val="4"/>
</file>

<file path=xl/ctrlProps/ctrlProp235.xml><?xml version="1.0" encoding="utf-8"?>
<formControlPr xmlns="http://schemas.microsoft.com/office/spreadsheetml/2009/9/main" objectType="Drop" dropLines="10" dropStyle="combo" dx="17" fmlaLink="$B$51" fmlaRange="Arbeitsgänge!$C$26:$C$80" noThreeD="1" sel="22" val="13"/>
</file>

<file path=xl/ctrlProps/ctrlProp236.xml><?xml version="1.0" encoding="utf-8"?>
<formControlPr xmlns="http://schemas.microsoft.com/office/spreadsheetml/2009/9/main" objectType="Drop" dropLines="10" dropStyle="combo" dx="17" fmlaLink="$B$52" fmlaRange="Arbeitsgänge!$C$26:$C$80" noThreeD="1" sel="29" val="27"/>
</file>

<file path=xl/ctrlProps/ctrlProp237.xml><?xml version="1.0" encoding="utf-8"?>
<formControlPr xmlns="http://schemas.microsoft.com/office/spreadsheetml/2009/9/main" objectType="Drop" dropLines="10" dropStyle="combo" dx="17" fmlaLink="$B$53" fmlaRange="Arbeitsgänge!$C$26:$D$80" noThreeD="1" sel="2" val="0"/>
</file>

<file path=xl/ctrlProps/ctrlProp238.xml><?xml version="1.0" encoding="utf-8"?>
<formControlPr xmlns="http://schemas.microsoft.com/office/spreadsheetml/2009/9/main" objectType="Drop" dropLines="10" dropStyle="combo" dx="17" fmlaLink="$B$54" fmlaRange="Arbeitsgänge!$C$26:$C$80" noThreeD="1" sel="34" val="31"/>
</file>

<file path=xl/ctrlProps/ctrlProp239.xml><?xml version="1.0" encoding="utf-8"?>
<formControlPr xmlns="http://schemas.microsoft.com/office/spreadsheetml/2009/9/main" objectType="Drop" dropLines="10" dropStyle="combo" dx="17" fmlaLink="$B$55" fmlaRange="Arbeitsgänge!$C$26:$C$80" noThreeD="1" sel="43" val="36"/>
</file>

<file path=xl/ctrlProps/ctrlProp24.xml><?xml version="1.0" encoding="utf-8"?>
<formControlPr xmlns="http://schemas.microsoft.com/office/spreadsheetml/2009/9/main" objectType="Drop" dropLines="6" dropStyle="combo" dx="17" fmlaLink="$V$5" fmlaRange="$T$4:$T$15" noThreeD="1" sel="4" val="3"/>
</file>

<file path=xl/ctrlProps/ctrlProp240.xml><?xml version="1.0" encoding="utf-8"?>
<formControlPr xmlns="http://schemas.microsoft.com/office/spreadsheetml/2009/9/main" objectType="Drop" dropLines="10" dropStyle="combo" dx="17" fmlaLink="$B19" fmlaRange="Prämien!$D$8:$M$37" noThreeD="1" val="0"/>
</file>

<file path=xl/ctrlProps/ctrlProp241.xml><?xml version="1.0" encoding="utf-8"?>
<formControlPr xmlns="http://schemas.microsoft.com/office/spreadsheetml/2009/9/main" objectType="Drop" dropLines="10" dropStyle="combo" dx="17" fmlaLink="$B20" fmlaRange="Prämien!$D$8:$M$37" noThreeD="1" sel="3" val="0"/>
</file>

<file path=xl/ctrlProps/ctrlProp242.xml><?xml version="1.0" encoding="utf-8"?>
<formControlPr xmlns="http://schemas.microsoft.com/office/spreadsheetml/2009/9/main" objectType="Drop" dropLines="10" dropStyle="combo" dx="17" fmlaLink="$B21" fmlaRange="Prämien!$D$8:$M$37" noThreeD="1" sel="18" val="14"/>
</file>

<file path=xl/ctrlProps/ctrlProp243.xml><?xml version="1.0" encoding="utf-8"?>
<formControlPr xmlns="http://schemas.microsoft.com/office/spreadsheetml/2009/9/main" objectType="Drop" dropLines="10" dropStyle="combo" dx="17" fmlaLink="$B22" fmlaRange="Prämien!$D$8:$M$37" noThreeD="1" sel="30" val="20"/>
</file>

<file path=xl/ctrlProps/ctrlProp244.xml><?xml version="1.0" encoding="utf-8"?>
<formControlPr xmlns="http://schemas.microsoft.com/office/spreadsheetml/2009/9/main" objectType="Drop" dropLines="10" dropStyle="combo" dx="17" fmlaLink="$B23" fmlaRange="Prämien!$D$8:$M$37" noThreeD="1" sel="6" val="0"/>
</file>

<file path=xl/ctrlProps/ctrlProp245.xml><?xml version="1.0" encoding="utf-8"?>
<formControlPr xmlns="http://schemas.microsoft.com/office/spreadsheetml/2009/9/main" objectType="Drop" dropLines="10" dropStyle="combo" dx="17" fmlaLink="$B25" fmlaRange="Prämien!$Q$8:$Y$9" noThreeD="1" val="0"/>
</file>

<file path=xl/ctrlProps/ctrlProp246.xml><?xml version="1.0" encoding="utf-8"?>
<formControlPr xmlns="http://schemas.microsoft.com/office/spreadsheetml/2009/9/main" objectType="CheckBox" checked="Checked" fmlaLink="$R$19" lockText="1" noThreeD="1"/>
</file>

<file path=xl/ctrlProps/ctrlProp247.xml><?xml version="1.0" encoding="utf-8"?>
<formControlPr xmlns="http://schemas.microsoft.com/office/spreadsheetml/2009/9/main" objectType="CheckBox" fmlaLink="$R$20" lockText="1" noThreeD="1"/>
</file>

<file path=xl/ctrlProps/ctrlProp248.xml><?xml version="1.0" encoding="utf-8"?>
<formControlPr xmlns="http://schemas.microsoft.com/office/spreadsheetml/2009/9/main" objectType="CheckBox" fmlaLink="$R$21" lockText="1" noThreeD="1"/>
</file>

<file path=xl/ctrlProps/ctrlProp249.xml><?xml version="1.0" encoding="utf-8"?>
<formControlPr xmlns="http://schemas.microsoft.com/office/spreadsheetml/2009/9/main" objectType="CheckBox" fmlaLink="$R$22" lockText="1" noThreeD="1"/>
</file>

<file path=xl/ctrlProps/ctrlProp25.xml><?xml version="1.0" encoding="utf-8"?>
<formControlPr xmlns="http://schemas.microsoft.com/office/spreadsheetml/2009/9/main" objectType="Drop" dropLines="6" dropStyle="combo" dx="17" fmlaLink="$X$5" fmlaRange="$T$4:$T$13" noThreeD="1" sel="4" val="2"/>
</file>

<file path=xl/ctrlProps/ctrlProp250.xml><?xml version="1.0" encoding="utf-8"?>
<formControlPr xmlns="http://schemas.microsoft.com/office/spreadsheetml/2009/9/main" objectType="CheckBox" fmlaLink="$R$23" lockText="1" noThreeD="1"/>
</file>

<file path=xl/ctrlProps/ctrlProp251.xml><?xml version="1.0" encoding="utf-8"?>
<formControlPr xmlns="http://schemas.microsoft.com/office/spreadsheetml/2009/9/main" objectType="CheckBox" checked="Checked" fmlaLink="$U$19" lockText="1" noThreeD="1"/>
</file>

<file path=xl/ctrlProps/ctrlProp252.xml><?xml version="1.0" encoding="utf-8"?>
<formControlPr xmlns="http://schemas.microsoft.com/office/spreadsheetml/2009/9/main" objectType="CheckBox" fmlaLink="$U$20" lockText="1" noThreeD="1"/>
</file>

<file path=xl/ctrlProps/ctrlProp253.xml><?xml version="1.0" encoding="utf-8"?>
<formControlPr xmlns="http://schemas.microsoft.com/office/spreadsheetml/2009/9/main" objectType="CheckBox" fmlaLink="$U$21" lockText="1" noThreeD="1"/>
</file>

<file path=xl/ctrlProps/ctrlProp254.xml><?xml version="1.0" encoding="utf-8"?>
<formControlPr xmlns="http://schemas.microsoft.com/office/spreadsheetml/2009/9/main" objectType="CheckBox" fmlaLink="$U$22" lockText="1" noThreeD="1"/>
</file>

<file path=xl/ctrlProps/ctrlProp255.xml><?xml version="1.0" encoding="utf-8"?>
<formControlPr xmlns="http://schemas.microsoft.com/office/spreadsheetml/2009/9/main" objectType="CheckBox" fmlaLink="$U$23" lockText="1" noThreeD="1"/>
</file>

<file path=xl/ctrlProps/ctrlProp256.xml><?xml version="1.0" encoding="utf-8"?>
<formControlPr xmlns="http://schemas.microsoft.com/office/spreadsheetml/2009/9/main" objectType="CheckBox" checked="Checked" fmlaLink="$X$19" lockText="1" noThreeD="1"/>
</file>

<file path=xl/ctrlProps/ctrlProp257.xml><?xml version="1.0" encoding="utf-8"?>
<formControlPr xmlns="http://schemas.microsoft.com/office/spreadsheetml/2009/9/main" objectType="CheckBox" fmlaLink="$X$20" lockText="1" noThreeD="1"/>
</file>

<file path=xl/ctrlProps/ctrlProp258.xml><?xml version="1.0" encoding="utf-8"?>
<formControlPr xmlns="http://schemas.microsoft.com/office/spreadsheetml/2009/9/main" objectType="CheckBox" fmlaLink="$X$21" lockText="1" noThreeD="1"/>
</file>

<file path=xl/ctrlProps/ctrlProp259.xml><?xml version="1.0" encoding="utf-8"?>
<formControlPr xmlns="http://schemas.microsoft.com/office/spreadsheetml/2009/9/main" objectType="CheckBox" fmlaLink="$X$22" lockText="1" noThreeD="1"/>
</file>

<file path=xl/ctrlProps/ctrlProp26.xml><?xml version="1.0" encoding="utf-8"?>
<formControlPr xmlns="http://schemas.microsoft.com/office/spreadsheetml/2009/9/main" objectType="Drop" dropLines="6" dropStyle="combo" dx="17" fmlaLink="$W$5" fmlaRange="$T$4:$T$15" noThreeD="1" sel="4" val="2"/>
</file>

<file path=xl/ctrlProps/ctrlProp260.xml><?xml version="1.0" encoding="utf-8"?>
<formControlPr xmlns="http://schemas.microsoft.com/office/spreadsheetml/2009/9/main" objectType="CheckBox" fmlaLink="$X$23" lockText="1" noThreeD="1"/>
</file>

<file path=xl/ctrlProps/ctrlProp261.xml><?xml version="1.0" encoding="utf-8"?>
<formControlPr xmlns="http://schemas.microsoft.com/office/spreadsheetml/2009/9/main" objectType="Drop" dropLines="10" dropStyle="combo" dx="17" fmlaLink="$B$45" fmlaRange="Arbeitsgänge!$C$26:$C$78" noThreeD="1" sel="2" val="0"/>
</file>

<file path=xl/ctrlProps/ctrlProp262.xml><?xml version="1.0" encoding="utf-8"?>
<formControlPr xmlns="http://schemas.microsoft.com/office/spreadsheetml/2009/9/main" objectType="Drop" dropLines="10" dropStyle="combo" dx="17" fmlaLink="$B$46" fmlaRange="Arbeitsgänge!$C$26:$C$80" noThreeD="1" val="0"/>
</file>

<file path=xl/ctrlProps/ctrlProp263.xml><?xml version="1.0" encoding="utf-8"?>
<formControlPr xmlns="http://schemas.microsoft.com/office/spreadsheetml/2009/9/main" objectType="Drop" dropLines="10" dropStyle="combo" dx="17" fmlaLink="$B$47" fmlaRange="Arbeitsgänge!$C$26:$C$80" noThreeD="1" sel="6" val="0"/>
</file>

<file path=xl/ctrlProps/ctrlProp264.xml><?xml version="1.0" encoding="utf-8"?>
<formControlPr xmlns="http://schemas.microsoft.com/office/spreadsheetml/2009/9/main" objectType="Drop" dropLines="10" dropStyle="combo" dx="17" fmlaLink="$B$48" fmlaRange="Arbeitsgänge!$C$26:$C$80" noThreeD="1" sel="8" val="3"/>
</file>

<file path=xl/ctrlProps/ctrlProp265.xml><?xml version="1.0" encoding="utf-8"?>
<formControlPr xmlns="http://schemas.microsoft.com/office/spreadsheetml/2009/9/main" objectType="Drop" dropLines="10" dropStyle="combo" dx="17" fmlaLink="$B$49" fmlaRange="Arbeitsgänge!$C$26:$C$80" noThreeD="1" sel="22" val="21"/>
</file>

<file path=xl/ctrlProps/ctrlProp266.xml><?xml version="1.0" encoding="utf-8"?>
<formControlPr xmlns="http://schemas.microsoft.com/office/spreadsheetml/2009/9/main" objectType="Drop" dropLines="10" dropStyle="combo" dx="17" fmlaLink="$B$50" fmlaRange="Arbeitsgänge!$C$26:$C$80" noThreeD="1" sel="7" val="4"/>
</file>

<file path=xl/ctrlProps/ctrlProp267.xml><?xml version="1.0" encoding="utf-8"?>
<formControlPr xmlns="http://schemas.microsoft.com/office/spreadsheetml/2009/9/main" objectType="Drop" dropLines="10" dropStyle="combo" dx="17" fmlaLink="$B$51" fmlaRange="Arbeitsgänge!$C$26:$C$80" noThreeD="1" sel="22" val="18"/>
</file>

<file path=xl/ctrlProps/ctrlProp268.xml><?xml version="1.0" encoding="utf-8"?>
<formControlPr xmlns="http://schemas.microsoft.com/office/spreadsheetml/2009/9/main" objectType="Drop" dropLines="10" dropStyle="combo" dx="17" fmlaLink="$B$52" fmlaRange="Arbeitsgänge!$C$26:$C$80" noThreeD="1" sel="28" val="25"/>
</file>

<file path=xl/ctrlProps/ctrlProp269.xml><?xml version="1.0" encoding="utf-8"?>
<formControlPr xmlns="http://schemas.microsoft.com/office/spreadsheetml/2009/9/main" objectType="Drop" dropLines="10" dropStyle="combo" dx="17" fmlaLink="$B$53" fmlaRange="Arbeitsgänge!$C$26:$D$80" noThreeD="1" sel="30" val="25"/>
</file>

<file path=xl/ctrlProps/ctrlProp27.xml><?xml version="1.0" encoding="utf-8"?>
<formControlPr xmlns="http://schemas.microsoft.com/office/spreadsheetml/2009/9/main" objectType="Drop" dropLines="6" dropStyle="combo" dx="17" fmlaLink="$Y$5" fmlaRange="$T$4:$T$13" noThreeD="1" sel="4" val="2"/>
</file>

<file path=xl/ctrlProps/ctrlProp270.xml><?xml version="1.0" encoding="utf-8"?>
<formControlPr xmlns="http://schemas.microsoft.com/office/spreadsheetml/2009/9/main" objectType="Drop" dropLines="10" dropStyle="combo" dx="17" fmlaLink="$B$54" fmlaRange="Arbeitsgänge!$C$26:$C$80" noThreeD="1" sel="32" val="26"/>
</file>

<file path=xl/ctrlProps/ctrlProp271.xml><?xml version="1.0" encoding="utf-8"?>
<formControlPr xmlns="http://schemas.microsoft.com/office/spreadsheetml/2009/9/main" objectType="Drop" dropLines="10" dropStyle="combo" dx="17" fmlaLink="$B$55" fmlaRange="Arbeitsgänge!$C$26:$C$80" noThreeD="1" sel="37" val="29"/>
</file>

<file path=xl/ctrlProps/ctrlProp272.xml><?xml version="1.0" encoding="utf-8"?>
<formControlPr xmlns="http://schemas.microsoft.com/office/spreadsheetml/2009/9/main" objectType="Drop" dropLines="10" dropStyle="combo" dx="17" fmlaLink="$B19" fmlaRange="Prämien!$D$8:$M$37" noThreeD="1" val="0"/>
</file>

<file path=xl/ctrlProps/ctrlProp273.xml><?xml version="1.0" encoding="utf-8"?>
<formControlPr xmlns="http://schemas.microsoft.com/office/spreadsheetml/2009/9/main" objectType="Drop" dropLines="10" dropStyle="combo" dx="17" fmlaLink="$B20" fmlaRange="Prämien!$D$8:$M$37" noThreeD="1" sel="3" val="0"/>
</file>

<file path=xl/ctrlProps/ctrlProp274.xml><?xml version="1.0" encoding="utf-8"?>
<formControlPr xmlns="http://schemas.microsoft.com/office/spreadsheetml/2009/9/main" objectType="Drop" dropLines="10" dropStyle="combo" dx="17" fmlaLink="$B21" fmlaRange="Prämien!$D$8:$M$37" noThreeD="1" sel="18" val="14"/>
</file>

<file path=xl/ctrlProps/ctrlProp275.xml><?xml version="1.0" encoding="utf-8"?>
<formControlPr xmlns="http://schemas.microsoft.com/office/spreadsheetml/2009/9/main" objectType="Drop" dropLines="10" dropStyle="combo" dx="17" fmlaLink="$B22" fmlaRange="Prämien!$D$8:$M$37" noThreeD="1" sel="30" val="20"/>
</file>

<file path=xl/ctrlProps/ctrlProp276.xml><?xml version="1.0" encoding="utf-8"?>
<formControlPr xmlns="http://schemas.microsoft.com/office/spreadsheetml/2009/9/main" objectType="Drop" dropLines="10" dropStyle="combo" dx="17" fmlaLink="$B23" fmlaRange="Prämien!$D$8:$M$37" noThreeD="1" sel="6" val="0"/>
</file>

<file path=xl/ctrlProps/ctrlProp277.xml><?xml version="1.0" encoding="utf-8"?>
<formControlPr xmlns="http://schemas.microsoft.com/office/spreadsheetml/2009/9/main" objectType="Drop" dropLines="10" dropStyle="combo" dx="17" fmlaLink="$B25" fmlaRange="Prämien!$Q$8:$Y$9" noThreeD="1" val="0"/>
</file>

<file path=xl/ctrlProps/ctrlProp278.xml><?xml version="1.0" encoding="utf-8"?>
<formControlPr xmlns="http://schemas.microsoft.com/office/spreadsheetml/2009/9/main" objectType="CheckBox" checked="Checked" fmlaLink="$R$19" lockText="1" noThreeD="1"/>
</file>

<file path=xl/ctrlProps/ctrlProp279.xml><?xml version="1.0" encoding="utf-8"?>
<formControlPr xmlns="http://schemas.microsoft.com/office/spreadsheetml/2009/9/main" objectType="CheckBox" fmlaLink="$R$20" lockText="1" noThreeD="1"/>
</file>

<file path=xl/ctrlProps/ctrlProp28.xml><?xml version="1.0" encoding="utf-8"?>
<formControlPr xmlns="http://schemas.microsoft.com/office/spreadsheetml/2009/9/main" objectType="Drop" dropLines="6" dropStyle="combo" dx="17" fmlaLink="$Z$5" fmlaRange="$T$4:$T$13" noThreeD="1" sel="10" val="4"/>
</file>

<file path=xl/ctrlProps/ctrlProp280.xml><?xml version="1.0" encoding="utf-8"?>
<formControlPr xmlns="http://schemas.microsoft.com/office/spreadsheetml/2009/9/main" objectType="CheckBox" fmlaLink="$R$21" lockText="1" noThreeD="1"/>
</file>

<file path=xl/ctrlProps/ctrlProp281.xml><?xml version="1.0" encoding="utf-8"?>
<formControlPr xmlns="http://schemas.microsoft.com/office/spreadsheetml/2009/9/main" objectType="CheckBox" fmlaLink="$R$22" lockText="1" noThreeD="1"/>
</file>

<file path=xl/ctrlProps/ctrlProp282.xml><?xml version="1.0" encoding="utf-8"?>
<formControlPr xmlns="http://schemas.microsoft.com/office/spreadsheetml/2009/9/main" objectType="CheckBox" fmlaLink="$R$23" lockText="1" noThreeD="1"/>
</file>

<file path=xl/ctrlProps/ctrlProp283.xml><?xml version="1.0" encoding="utf-8"?>
<formControlPr xmlns="http://schemas.microsoft.com/office/spreadsheetml/2009/9/main" objectType="CheckBox" checked="Checked" fmlaLink="$U$19" lockText="1" noThreeD="1"/>
</file>

<file path=xl/ctrlProps/ctrlProp284.xml><?xml version="1.0" encoding="utf-8"?>
<formControlPr xmlns="http://schemas.microsoft.com/office/spreadsheetml/2009/9/main" objectType="CheckBox" fmlaLink="$U$20" lockText="1" noThreeD="1"/>
</file>

<file path=xl/ctrlProps/ctrlProp285.xml><?xml version="1.0" encoding="utf-8"?>
<formControlPr xmlns="http://schemas.microsoft.com/office/spreadsheetml/2009/9/main" objectType="CheckBox" fmlaLink="$U$21" lockText="1" noThreeD="1"/>
</file>

<file path=xl/ctrlProps/ctrlProp286.xml><?xml version="1.0" encoding="utf-8"?>
<formControlPr xmlns="http://schemas.microsoft.com/office/spreadsheetml/2009/9/main" objectType="CheckBox" fmlaLink="$U$22" lockText="1" noThreeD="1"/>
</file>

<file path=xl/ctrlProps/ctrlProp287.xml><?xml version="1.0" encoding="utf-8"?>
<formControlPr xmlns="http://schemas.microsoft.com/office/spreadsheetml/2009/9/main" objectType="CheckBox" fmlaLink="$U$23" lockText="1" noThreeD="1"/>
</file>

<file path=xl/ctrlProps/ctrlProp288.xml><?xml version="1.0" encoding="utf-8"?>
<formControlPr xmlns="http://schemas.microsoft.com/office/spreadsheetml/2009/9/main" objectType="CheckBox" checked="Checked" fmlaLink="$X$19" lockText="1" noThreeD="1"/>
</file>

<file path=xl/ctrlProps/ctrlProp289.xml><?xml version="1.0" encoding="utf-8"?>
<formControlPr xmlns="http://schemas.microsoft.com/office/spreadsheetml/2009/9/main" objectType="CheckBox" fmlaLink="$X$20" lockText="1" noThreeD="1"/>
</file>

<file path=xl/ctrlProps/ctrlProp29.xml><?xml version="1.0" encoding="utf-8"?>
<formControlPr xmlns="http://schemas.microsoft.com/office/spreadsheetml/2009/9/main" objectType="Drop" dropLines="10" dropStyle="combo" dx="17" fmlaLink="$B$46" fmlaRange="Arbeitsgänge!$C$26:$C$78" noThreeD="1" sel="20" val="19"/>
</file>

<file path=xl/ctrlProps/ctrlProp290.xml><?xml version="1.0" encoding="utf-8"?>
<formControlPr xmlns="http://schemas.microsoft.com/office/spreadsheetml/2009/9/main" objectType="CheckBox" fmlaLink="$X$21" lockText="1" noThreeD="1"/>
</file>

<file path=xl/ctrlProps/ctrlProp291.xml><?xml version="1.0" encoding="utf-8"?>
<formControlPr xmlns="http://schemas.microsoft.com/office/spreadsheetml/2009/9/main" objectType="CheckBox" fmlaLink="$X$22" lockText="1" noThreeD="1"/>
</file>

<file path=xl/ctrlProps/ctrlProp292.xml><?xml version="1.0" encoding="utf-8"?>
<formControlPr xmlns="http://schemas.microsoft.com/office/spreadsheetml/2009/9/main" objectType="CheckBox" fmlaLink="$X$23" lockText="1" noThreeD="1"/>
</file>

<file path=xl/ctrlProps/ctrlProp293.xml><?xml version="1.0" encoding="utf-8"?>
<formControlPr xmlns="http://schemas.microsoft.com/office/spreadsheetml/2009/9/main" objectType="Drop" dropLines="10" dropStyle="combo" dx="17" fmlaLink="$B$45" fmlaRange="Arbeitsgänge!$C$26:$C$78" noThreeD="1" sel="2" val="0"/>
</file>

<file path=xl/ctrlProps/ctrlProp294.xml><?xml version="1.0" encoding="utf-8"?>
<formControlPr xmlns="http://schemas.microsoft.com/office/spreadsheetml/2009/9/main" objectType="Drop" dropLines="10" dropStyle="combo" dx="17" fmlaLink="$B$46" fmlaRange="Arbeitsgänge!$C$26:$C$80" noThreeD="1" val="0"/>
</file>

<file path=xl/ctrlProps/ctrlProp295.xml><?xml version="1.0" encoding="utf-8"?>
<formControlPr xmlns="http://schemas.microsoft.com/office/spreadsheetml/2009/9/main" objectType="Drop" dropLines="10" dropStyle="combo" dx="17" fmlaLink="$B$47" fmlaRange="Arbeitsgänge!$C$26:$C$80" noThreeD="1" sel="6" val="0"/>
</file>

<file path=xl/ctrlProps/ctrlProp296.xml><?xml version="1.0" encoding="utf-8"?>
<formControlPr xmlns="http://schemas.microsoft.com/office/spreadsheetml/2009/9/main" objectType="Drop" dropLines="10" dropStyle="combo" dx="17" fmlaLink="$B$48" fmlaRange="Arbeitsgänge!$C$26:$C$80" noThreeD="1" sel="8" val="3"/>
</file>

<file path=xl/ctrlProps/ctrlProp297.xml><?xml version="1.0" encoding="utf-8"?>
<formControlPr xmlns="http://schemas.microsoft.com/office/spreadsheetml/2009/9/main" objectType="Drop" dropLines="10" dropStyle="combo" dx="17" fmlaLink="$B$49" fmlaRange="Arbeitsgänge!$C$26:$C$80" noThreeD="1" sel="22" val="21"/>
</file>

<file path=xl/ctrlProps/ctrlProp298.xml><?xml version="1.0" encoding="utf-8"?>
<formControlPr xmlns="http://schemas.microsoft.com/office/spreadsheetml/2009/9/main" objectType="Drop" dropLines="10" dropStyle="combo" dx="17" fmlaLink="$B$50" fmlaRange="Arbeitsgänge!$C$26:$C$80" noThreeD="1" sel="7" val="4"/>
</file>

<file path=xl/ctrlProps/ctrlProp299.xml><?xml version="1.0" encoding="utf-8"?>
<formControlPr xmlns="http://schemas.microsoft.com/office/spreadsheetml/2009/9/main" objectType="Drop" dropLines="10" dropStyle="combo" dx="17" fmlaLink="$B$51" fmlaRange="Arbeitsgänge!$C$26:$C$80" noThreeD="1" sel="22" val="13"/>
</file>

<file path=xl/ctrlProps/ctrlProp3.xml><?xml version="1.0" encoding="utf-8"?>
<formControlPr xmlns="http://schemas.microsoft.com/office/spreadsheetml/2009/9/main" objectType="Drop" dropLines="4" dropStyle="combo" dx="17" fmlaLink="AI5" fmlaRange="$AG$6:$AG$7" noThreeD="1" val="0"/>
</file>

<file path=xl/ctrlProps/ctrlProp30.xml><?xml version="1.0" encoding="utf-8"?>
<formControlPr xmlns="http://schemas.microsoft.com/office/spreadsheetml/2009/9/main" objectType="Drop" dropLines="10" dropStyle="combo" dx="17" fmlaLink="$B$47" fmlaRange="Arbeitsgänge!$C$26:$C$78" noThreeD="1" sel="19" val="11"/>
</file>

<file path=xl/ctrlProps/ctrlProp300.xml><?xml version="1.0" encoding="utf-8"?>
<formControlPr xmlns="http://schemas.microsoft.com/office/spreadsheetml/2009/9/main" objectType="Drop" dropLines="10" dropStyle="combo" dx="17" fmlaLink="$B$52" fmlaRange="Arbeitsgänge!$C$26:$C$80" noThreeD="1" sel="28" val="27"/>
</file>

<file path=xl/ctrlProps/ctrlProp301.xml><?xml version="1.0" encoding="utf-8"?>
<formControlPr xmlns="http://schemas.microsoft.com/office/spreadsheetml/2009/9/main" objectType="Drop" dropLines="10" dropStyle="combo" dx="17" fmlaLink="$B$53" fmlaRange="Arbeitsgänge!$C$26:$D$80" noThreeD="1" sel="30" val="28"/>
</file>

<file path=xl/ctrlProps/ctrlProp302.xml><?xml version="1.0" encoding="utf-8"?>
<formControlPr xmlns="http://schemas.microsoft.com/office/spreadsheetml/2009/9/main" objectType="Drop" dropLines="10" dropStyle="combo" dx="17" fmlaLink="$B$54" fmlaRange="Arbeitsgänge!$C$26:$C$80" noThreeD="1" sel="32" val="31"/>
</file>

<file path=xl/ctrlProps/ctrlProp303.xml><?xml version="1.0" encoding="utf-8"?>
<formControlPr xmlns="http://schemas.microsoft.com/office/spreadsheetml/2009/9/main" objectType="Drop" dropLines="10" dropStyle="combo" dx="17" fmlaLink="$B$55" fmlaRange="Arbeitsgänge!$C$26:$C$80" noThreeD="1" sel="43" val="36"/>
</file>

<file path=xl/ctrlProps/ctrlProp304.xml><?xml version="1.0" encoding="utf-8"?>
<formControlPr xmlns="http://schemas.microsoft.com/office/spreadsheetml/2009/9/main" objectType="Drop" dropLines="10" dropStyle="combo" dx="17" fmlaLink="$B19" fmlaRange="Prämien!$D$8:$M$37" noThreeD="1" val="0"/>
</file>

<file path=xl/ctrlProps/ctrlProp305.xml><?xml version="1.0" encoding="utf-8"?>
<formControlPr xmlns="http://schemas.microsoft.com/office/spreadsheetml/2009/9/main" objectType="Drop" dropLines="10" dropStyle="combo" dx="17" fmlaLink="$B20" fmlaRange="Prämien!$D$8:$M$37" noThreeD="1" sel="3" val="2"/>
</file>

<file path=xl/ctrlProps/ctrlProp306.xml><?xml version="1.0" encoding="utf-8"?>
<formControlPr xmlns="http://schemas.microsoft.com/office/spreadsheetml/2009/9/main" objectType="Drop" dropLines="10" dropStyle="combo" dx="17" fmlaLink="$B21" fmlaRange="Prämien!$D$8:$M$37" noThreeD="1" sel="18" val="17"/>
</file>

<file path=xl/ctrlProps/ctrlProp307.xml><?xml version="1.0" encoding="utf-8"?>
<formControlPr xmlns="http://schemas.microsoft.com/office/spreadsheetml/2009/9/main" objectType="Drop" dropLines="10" dropStyle="combo" dx="17" fmlaLink="$B22" fmlaRange="Prämien!$D$8:$M$37" noThreeD="1" sel="30" val="20"/>
</file>

<file path=xl/ctrlProps/ctrlProp308.xml><?xml version="1.0" encoding="utf-8"?>
<formControlPr xmlns="http://schemas.microsoft.com/office/spreadsheetml/2009/9/main" objectType="Drop" dropLines="10" dropStyle="combo" dx="17" fmlaLink="$B23" fmlaRange="Prämien!$D$8:$M$37" noThreeD="1" sel="6" val="0"/>
</file>

<file path=xl/ctrlProps/ctrlProp309.xml><?xml version="1.0" encoding="utf-8"?>
<formControlPr xmlns="http://schemas.microsoft.com/office/spreadsheetml/2009/9/main" objectType="Drop" dropLines="10" dropStyle="combo" dx="17" fmlaLink="$B25" fmlaRange="Prämien!$Q$8:$Y$9" noThreeD="1" val="0"/>
</file>

<file path=xl/ctrlProps/ctrlProp31.xml><?xml version="1.0" encoding="utf-8"?>
<formControlPr xmlns="http://schemas.microsoft.com/office/spreadsheetml/2009/9/main" objectType="Drop" dropLines="10" dropStyle="combo" dx="17" fmlaLink="$B$48" fmlaRange="Arbeitsgänge!$C$26:$C$78" noThreeD="1" sel="22" val="13"/>
</file>

<file path=xl/ctrlProps/ctrlProp310.xml><?xml version="1.0" encoding="utf-8"?>
<formControlPr xmlns="http://schemas.microsoft.com/office/spreadsheetml/2009/9/main" objectType="CheckBox" checked="Checked" fmlaLink="$R$19" lockText="1" noThreeD="1"/>
</file>

<file path=xl/ctrlProps/ctrlProp311.xml><?xml version="1.0" encoding="utf-8"?>
<formControlPr xmlns="http://schemas.microsoft.com/office/spreadsheetml/2009/9/main" objectType="CheckBox" fmlaLink="$R$20" lockText="1" noThreeD="1"/>
</file>

<file path=xl/ctrlProps/ctrlProp312.xml><?xml version="1.0" encoding="utf-8"?>
<formControlPr xmlns="http://schemas.microsoft.com/office/spreadsheetml/2009/9/main" objectType="CheckBox" fmlaLink="$R$21" lockText="1" noThreeD="1"/>
</file>

<file path=xl/ctrlProps/ctrlProp313.xml><?xml version="1.0" encoding="utf-8"?>
<formControlPr xmlns="http://schemas.microsoft.com/office/spreadsheetml/2009/9/main" objectType="CheckBox" fmlaLink="$R$22" lockText="1" noThreeD="1"/>
</file>

<file path=xl/ctrlProps/ctrlProp314.xml><?xml version="1.0" encoding="utf-8"?>
<formControlPr xmlns="http://schemas.microsoft.com/office/spreadsheetml/2009/9/main" objectType="CheckBox" fmlaLink="$R$23" lockText="1" noThreeD="1"/>
</file>

<file path=xl/ctrlProps/ctrlProp315.xml><?xml version="1.0" encoding="utf-8"?>
<formControlPr xmlns="http://schemas.microsoft.com/office/spreadsheetml/2009/9/main" objectType="CheckBox" checked="Checked" fmlaLink="$U$19" lockText="1" noThreeD="1"/>
</file>

<file path=xl/ctrlProps/ctrlProp316.xml><?xml version="1.0" encoding="utf-8"?>
<formControlPr xmlns="http://schemas.microsoft.com/office/spreadsheetml/2009/9/main" objectType="CheckBox" fmlaLink="$U$20" lockText="1" noThreeD="1"/>
</file>

<file path=xl/ctrlProps/ctrlProp317.xml><?xml version="1.0" encoding="utf-8"?>
<formControlPr xmlns="http://schemas.microsoft.com/office/spreadsheetml/2009/9/main" objectType="CheckBox" fmlaLink="$U$21" lockText="1" noThreeD="1"/>
</file>

<file path=xl/ctrlProps/ctrlProp318.xml><?xml version="1.0" encoding="utf-8"?>
<formControlPr xmlns="http://schemas.microsoft.com/office/spreadsheetml/2009/9/main" objectType="CheckBox" fmlaLink="$U$22" lockText="1" noThreeD="1"/>
</file>

<file path=xl/ctrlProps/ctrlProp319.xml><?xml version="1.0" encoding="utf-8"?>
<formControlPr xmlns="http://schemas.microsoft.com/office/spreadsheetml/2009/9/main" objectType="CheckBox" fmlaLink="$U$23" lockText="1" noThreeD="1"/>
</file>

<file path=xl/ctrlProps/ctrlProp32.xml><?xml version="1.0" encoding="utf-8"?>
<formControlPr xmlns="http://schemas.microsoft.com/office/spreadsheetml/2009/9/main" objectType="Drop" dropLines="10" dropStyle="combo" dx="17" fmlaLink="$B$49" fmlaRange="Arbeitsgänge!$C$26:$C$78" noThreeD="1" sel="34" val="28"/>
</file>

<file path=xl/ctrlProps/ctrlProp320.xml><?xml version="1.0" encoding="utf-8"?>
<formControlPr xmlns="http://schemas.microsoft.com/office/spreadsheetml/2009/9/main" objectType="CheckBox" checked="Checked" fmlaLink="$X$19" lockText="1" noThreeD="1"/>
</file>

<file path=xl/ctrlProps/ctrlProp321.xml><?xml version="1.0" encoding="utf-8"?>
<formControlPr xmlns="http://schemas.microsoft.com/office/spreadsheetml/2009/9/main" objectType="CheckBox" fmlaLink="$X$20" lockText="1" noThreeD="1"/>
</file>

<file path=xl/ctrlProps/ctrlProp322.xml><?xml version="1.0" encoding="utf-8"?>
<formControlPr xmlns="http://schemas.microsoft.com/office/spreadsheetml/2009/9/main" objectType="CheckBox" fmlaLink="$X$21" lockText="1" noThreeD="1"/>
</file>

<file path=xl/ctrlProps/ctrlProp323.xml><?xml version="1.0" encoding="utf-8"?>
<formControlPr xmlns="http://schemas.microsoft.com/office/spreadsheetml/2009/9/main" objectType="CheckBox" fmlaLink="$X$22" lockText="1" noThreeD="1"/>
</file>

<file path=xl/ctrlProps/ctrlProp324.xml><?xml version="1.0" encoding="utf-8"?>
<formControlPr xmlns="http://schemas.microsoft.com/office/spreadsheetml/2009/9/main" objectType="CheckBox" fmlaLink="$X$23" lockText="1" noThreeD="1"/>
</file>

<file path=xl/ctrlProps/ctrlProp325.xml><?xml version="1.0" encoding="utf-8"?>
<formControlPr xmlns="http://schemas.microsoft.com/office/spreadsheetml/2009/9/main" objectType="Drop" dropLines="10" dropStyle="combo" dx="17" fmlaLink="$B$45" fmlaRange="Arbeitsgänge!$C$26:$C$78" noThreeD="1" sel="2" val="0"/>
</file>

<file path=xl/ctrlProps/ctrlProp326.xml><?xml version="1.0" encoding="utf-8"?>
<formControlPr xmlns="http://schemas.microsoft.com/office/spreadsheetml/2009/9/main" objectType="Drop" dropLines="10" dropStyle="combo" dx="17" fmlaLink="$B$46" fmlaRange="Arbeitsgänge!$C$26:$C$80" noThreeD="1" val="0"/>
</file>

<file path=xl/ctrlProps/ctrlProp327.xml><?xml version="1.0" encoding="utf-8"?>
<formControlPr xmlns="http://schemas.microsoft.com/office/spreadsheetml/2009/9/main" objectType="Drop" dropLines="10" dropStyle="combo" dx="17" fmlaLink="$B$47" fmlaRange="Arbeitsgänge!$C$26:$C$80" noThreeD="1" sel="6" val="0"/>
</file>

<file path=xl/ctrlProps/ctrlProp328.xml><?xml version="1.0" encoding="utf-8"?>
<formControlPr xmlns="http://schemas.microsoft.com/office/spreadsheetml/2009/9/main" objectType="Drop" dropLines="10" dropStyle="combo" dx="17" fmlaLink="$B$48" fmlaRange="Arbeitsgänge!$C$26:$C$80" noThreeD="1" sel="8" val="3"/>
</file>

<file path=xl/ctrlProps/ctrlProp329.xml><?xml version="1.0" encoding="utf-8"?>
<formControlPr xmlns="http://schemas.microsoft.com/office/spreadsheetml/2009/9/main" objectType="Drop" dropLines="10" dropStyle="combo" dx="17" fmlaLink="$B$49" fmlaRange="Arbeitsgänge!$C$26:$C$80" noThreeD="1" sel="22" val="21"/>
</file>

<file path=xl/ctrlProps/ctrlProp33.xml><?xml version="1.0" encoding="utf-8"?>
<formControlPr xmlns="http://schemas.microsoft.com/office/spreadsheetml/2009/9/main" objectType="Drop" dropLines="10" dropStyle="combo" dx="17" fmlaLink="$B$50" fmlaRange="Arbeitsgänge!$C$26:$C$78" noThreeD="1" sel="29" val="21"/>
</file>

<file path=xl/ctrlProps/ctrlProp330.xml><?xml version="1.0" encoding="utf-8"?>
<formControlPr xmlns="http://schemas.microsoft.com/office/spreadsheetml/2009/9/main" objectType="Drop" dropLines="10" dropStyle="combo" dx="17" fmlaLink="$B$50" fmlaRange="Arbeitsgänge!$C$26:$C$80" noThreeD="1" sel="7" val="4"/>
</file>

<file path=xl/ctrlProps/ctrlProp331.xml><?xml version="1.0" encoding="utf-8"?>
<formControlPr xmlns="http://schemas.microsoft.com/office/spreadsheetml/2009/9/main" objectType="Drop" dropLines="10" dropStyle="combo" dx="17" fmlaLink="$B$51" fmlaRange="Arbeitsgänge!$C$26:$C$80" noThreeD="1" sel="22" val="13"/>
</file>

<file path=xl/ctrlProps/ctrlProp332.xml><?xml version="1.0" encoding="utf-8"?>
<formControlPr xmlns="http://schemas.microsoft.com/office/spreadsheetml/2009/9/main" objectType="Drop" dropLines="10" dropStyle="combo" dx="17" fmlaLink="$B$52" fmlaRange="Arbeitsgänge!$C$26:$C$80" noThreeD="1" sel="29" val="27"/>
</file>

<file path=xl/ctrlProps/ctrlProp333.xml><?xml version="1.0" encoding="utf-8"?>
<formControlPr xmlns="http://schemas.microsoft.com/office/spreadsheetml/2009/9/main" objectType="Drop" dropLines="10" dropStyle="combo" dx="17" fmlaLink="$B$53" fmlaRange="Arbeitsgänge!$C$26:$D$80" noThreeD="1" sel="34" val="29"/>
</file>

<file path=xl/ctrlProps/ctrlProp334.xml><?xml version="1.0" encoding="utf-8"?>
<formControlPr xmlns="http://schemas.microsoft.com/office/spreadsheetml/2009/9/main" objectType="Drop" dropLines="10" dropStyle="combo" dx="17" fmlaLink="$B$54" fmlaRange="Arbeitsgänge!$C$26:$C$80" noThreeD="1" sel="34" val="31"/>
</file>

<file path=xl/ctrlProps/ctrlProp335.xml><?xml version="1.0" encoding="utf-8"?>
<formControlPr xmlns="http://schemas.microsoft.com/office/spreadsheetml/2009/9/main" objectType="Drop" dropLines="10" dropStyle="combo" dx="17" fmlaLink="$B$55" fmlaRange="Arbeitsgänge!$C$26:$C$80" noThreeD="1" sel="43" val="36"/>
</file>

<file path=xl/ctrlProps/ctrlProp336.xml><?xml version="1.0" encoding="utf-8"?>
<formControlPr xmlns="http://schemas.microsoft.com/office/spreadsheetml/2009/9/main" objectType="Drop" dropLines="10" dropStyle="combo" dx="17" fmlaLink="$B19" fmlaRange="Prämien!$D$8:$M$37" noThreeD="1" val="0"/>
</file>

<file path=xl/ctrlProps/ctrlProp337.xml><?xml version="1.0" encoding="utf-8"?>
<formControlPr xmlns="http://schemas.microsoft.com/office/spreadsheetml/2009/9/main" objectType="Drop" dropLines="10" dropStyle="combo" dx="17" fmlaLink="$B20" fmlaRange="Prämien!$D$8:$M$37" noThreeD="1" sel="3" val="0"/>
</file>

<file path=xl/ctrlProps/ctrlProp338.xml><?xml version="1.0" encoding="utf-8"?>
<formControlPr xmlns="http://schemas.microsoft.com/office/spreadsheetml/2009/9/main" objectType="Drop" dropLines="10" dropStyle="combo" dx="17" fmlaLink="$B21" fmlaRange="Prämien!$D$8:$M$37" noThreeD="1" sel="18" val="14"/>
</file>

<file path=xl/ctrlProps/ctrlProp339.xml><?xml version="1.0" encoding="utf-8"?>
<formControlPr xmlns="http://schemas.microsoft.com/office/spreadsheetml/2009/9/main" objectType="Drop" dropLines="10" dropStyle="combo" dx="17" fmlaLink="$B22" fmlaRange="Prämien!$D$8:$M$37" noThreeD="1" sel="30" val="20"/>
</file>

<file path=xl/ctrlProps/ctrlProp34.xml><?xml version="1.0" encoding="utf-8"?>
<formControlPr xmlns="http://schemas.microsoft.com/office/spreadsheetml/2009/9/main" objectType="Drop" dropLines="10" dropStyle="combo" dx="17" fmlaLink="$B$51" fmlaRange="Arbeitsgänge!$C$26:$C$78" noThreeD="1" sel="22" val="17"/>
</file>

<file path=xl/ctrlProps/ctrlProp340.xml><?xml version="1.0" encoding="utf-8"?>
<formControlPr xmlns="http://schemas.microsoft.com/office/spreadsheetml/2009/9/main" objectType="Drop" dropLines="10" dropStyle="combo" dx="17" fmlaLink="$B23" fmlaRange="Prämien!$D$8:$M$37" noThreeD="1" sel="6" val="0"/>
</file>

<file path=xl/ctrlProps/ctrlProp341.xml><?xml version="1.0" encoding="utf-8"?>
<formControlPr xmlns="http://schemas.microsoft.com/office/spreadsheetml/2009/9/main" objectType="Drop" dropLines="10" dropStyle="combo" dx="17" fmlaLink="$B25" fmlaRange="Prämien!$Q$8:$Y$9" noThreeD="1" val="0"/>
</file>

<file path=xl/ctrlProps/ctrlProp342.xml><?xml version="1.0" encoding="utf-8"?>
<formControlPr xmlns="http://schemas.microsoft.com/office/spreadsheetml/2009/9/main" objectType="CheckBox" checked="Checked" fmlaLink="$R$19" lockText="1" noThreeD="1"/>
</file>

<file path=xl/ctrlProps/ctrlProp343.xml><?xml version="1.0" encoding="utf-8"?>
<formControlPr xmlns="http://schemas.microsoft.com/office/spreadsheetml/2009/9/main" objectType="CheckBox" fmlaLink="$R$20" lockText="1" noThreeD="1"/>
</file>

<file path=xl/ctrlProps/ctrlProp344.xml><?xml version="1.0" encoding="utf-8"?>
<formControlPr xmlns="http://schemas.microsoft.com/office/spreadsheetml/2009/9/main" objectType="CheckBox" fmlaLink="$R$21" lockText="1" noThreeD="1"/>
</file>

<file path=xl/ctrlProps/ctrlProp345.xml><?xml version="1.0" encoding="utf-8"?>
<formControlPr xmlns="http://schemas.microsoft.com/office/spreadsheetml/2009/9/main" objectType="CheckBox" fmlaLink="$R$22" lockText="1" noThreeD="1"/>
</file>

<file path=xl/ctrlProps/ctrlProp346.xml><?xml version="1.0" encoding="utf-8"?>
<formControlPr xmlns="http://schemas.microsoft.com/office/spreadsheetml/2009/9/main" objectType="CheckBox" fmlaLink="$R$23" lockText="1" noThreeD="1"/>
</file>

<file path=xl/ctrlProps/ctrlProp347.xml><?xml version="1.0" encoding="utf-8"?>
<formControlPr xmlns="http://schemas.microsoft.com/office/spreadsheetml/2009/9/main" objectType="CheckBox" checked="Checked" fmlaLink="$U$19" lockText="1" noThreeD="1"/>
</file>

<file path=xl/ctrlProps/ctrlProp348.xml><?xml version="1.0" encoding="utf-8"?>
<formControlPr xmlns="http://schemas.microsoft.com/office/spreadsheetml/2009/9/main" objectType="CheckBox" fmlaLink="$U$20" lockText="1" noThreeD="1"/>
</file>

<file path=xl/ctrlProps/ctrlProp349.xml><?xml version="1.0" encoding="utf-8"?>
<formControlPr xmlns="http://schemas.microsoft.com/office/spreadsheetml/2009/9/main" objectType="CheckBox" fmlaLink="$U$21" lockText="1" noThreeD="1"/>
</file>

<file path=xl/ctrlProps/ctrlProp35.xml><?xml version="1.0" encoding="utf-8"?>
<formControlPr xmlns="http://schemas.microsoft.com/office/spreadsheetml/2009/9/main" objectType="Drop" dropLines="10" dropStyle="combo" dx="17" fmlaLink="$B$52" fmlaRange="Arbeitsgänge!$C$26:$C$78" noThreeD="1" sel="22" val="17"/>
</file>

<file path=xl/ctrlProps/ctrlProp350.xml><?xml version="1.0" encoding="utf-8"?>
<formControlPr xmlns="http://schemas.microsoft.com/office/spreadsheetml/2009/9/main" objectType="CheckBox" fmlaLink="$U$22" lockText="1" noThreeD="1"/>
</file>

<file path=xl/ctrlProps/ctrlProp351.xml><?xml version="1.0" encoding="utf-8"?>
<formControlPr xmlns="http://schemas.microsoft.com/office/spreadsheetml/2009/9/main" objectType="CheckBox" fmlaLink="$U$23" lockText="1" noThreeD="1"/>
</file>

<file path=xl/ctrlProps/ctrlProp352.xml><?xml version="1.0" encoding="utf-8"?>
<formControlPr xmlns="http://schemas.microsoft.com/office/spreadsheetml/2009/9/main" objectType="CheckBox" checked="Checked" fmlaLink="$X$19" lockText="1" noThreeD="1"/>
</file>

<file path=xl/ctrlProps/ctrlProp353.xml><?xml version="1.0" encoding="utf-8"?>
<formControlPr xmlns="http://schemas.microsoft.com/office/spreadsheetml/2009/9/main" objectType="CheckBox" fmlaLink="$X$20" lockText="1" noThreeD="1"/>
</file>

<file path=xl/ctrlProps/ctrlProp354.xml><?xml version="1.0" encoding="utf-8"?>
<formControlPr xmlns="http://schemas.microsoft.com/office/spreadsheetml/2009/9/main" objectType="CheckBox" fmlaLink="$X$21" lockText="1" noThreeD="1"/>
</file>

<file path=xl/ctrlProps/ctrlProp355.xml><?xml version="1.0" encoding="utf-8"?>
<formControlPr xmlns="http://schemas.microsoft.com/office/spreadsheetml/2009/9/main" objectType="CheckBox" fmlaLink="$X$22" lockText="1" noThreeD="1"/>
</file>

<file path=xl/ctrlProps/ctrlProp356.xml><?xml version="1.0" encoding="utf-8"?>
<formControlPr xmlns="http://schemas.microsoft.com/office/spreadsheetml/2009/9/main" objectType="CheckBox" fmlaLink="$X$23" lockText="1" noThreeD="1"/>
</file>

<file path=xl/ctrlProps/ctrlProp357.xml><?xml version="1.0" encoding="utf-8"?>
<formControlPr xmlns="http://schemas.microsoft.com/office/spreadsheetml/2009/9/main" objectType="Drop" dropLines="10" dropStyle="combo" dx="17" fmlaLink="$B$45" fmlaRange="Arbeitsgänge!$C$26:$C$78" noThreeD="1" sel="2" val="0"/>
</file>

<file path=xl/ctrlProps/ctrlProp358.xml><?xml version="1.0" encoding="utf-8"?>
<formControlPr xmlns="http://schemas.microsoft.com/office/spreadsheetml/2009/9/main" objectType="Drop" dropLines="10" dropStyle="combo" dx="17" fmlaLink="$B$46" fmlaRange="Arbeitsgänge!$C$26:$C$80" noThreeD="1" val="0"/>
</file>

<file path=xl/ctrlProps/ctrlProp359.xml><?xml version="1.0" encoding="utf-8"?>
<formControlPr xmlns="http://schemas.microsoft.com/office/spreadsheetml/2009/9/main" objectType="Drop" dropLines="10" dropStyle="combo" dx="17" fmlaLink="$B$47" fmlaRange="Arbeitsgänge!$C$26:$C$80" noThreeD="1" sel="6" val="0"/>
</file>

<file path=xl/ctrlProps/ctrlProp36.xml><?xml version="1.0" encoding="utf-8"?>
<formControlPr xmlns="http://schemas.microsoft.com/office/spreadsheetml/2009/9/main" objectType="Drop" dropLines="10" dropStyle="combo" dx="17" fmlaLink="$B$53" fmlaRange="Arbeitsgänge!$C$26:$C$78" noThreeD="1" sel="49" val="43"/>
</file>

<file path=xl/ctrlProps/ctrlProp360.xml><?xml version="1.0" encoding="utf-8"?>
<formControlPr xmlns="http://schemas.microsoft.com/office/spreadsheetml/2009/9/main" objectType="Drop" dropLines="10" dropStyle="combo" dx="17" fmlaLink="$B$48" fmlaRange="Arbeitsgänge!$C$26:$C$80" noThreeD="1" sel="8" val="3"/>
</file>

<file path=xl/ctrlProps/ctrlProp361.xml><?xml version="1.0" encoding="utf-8"?>
<formControlPr xmlns="http://schemas.microsoft.com/office/spreadsheetml/2009/9/main" objectType="Drop" dropLines="10" dropStyle="combo" dx="17" fmlaLink="$B$49" fmlaRange="Arbeitsgänge!$C$26:$C$80" noThreeD="1" sel="22" val="21"/>
</file>

<file path=xl/ctrlProps/ctrlProp362.xml><?xml version="1.0" encoding="utf-8"?>
<formControlPr xmlns="http://schemas.microsoft.com/office/spreadsheetml/2009/9/main" objectType="Drop" dropLines="10" dropStyle="combo" dx="17" fmlaLink="$B$50" fmlaRange="Arbeitsgänge!$C$26:$C$80" noThreeD="1" sel="7" val="4"/>
</file>

<file path=xl/ctrlProps/ctrlProp363.xml><?xml version="1.0" encoding="utf-8"?>
<formControlPr xmlns="http://schemas.microsoft.com/office/spreadsheetml/2009/9/main" objectType="Drop" dropLines="10" dropStyle="combo" dx="17" fmlaLink="$B$51" fmlaRange="Arbeitsgänge!$C$26:$C$80" noThreeD="1" sel="22" val="13"/>
</file>

<file path=xl/ctrlProps/ctrlProp364.xml><?xml version="1.0" encoding="utf-8"?>
<formControlPr xmlns="http://schemas.microsoft.com/office/spreadsheetml/2009/9/main" objectType="Drop" dropLines="10" dropStyle="combo" dx="17" fmlaLink="$B$52" fmlaRange="Arbeitsgänge!$C$26:$C$80" noThreeD="1" sel="28" val="27"/>
</file>

<file path=xl/ctrlProps/ctrlProp365.xml><?xml version="1.0" encoding="utf-8"?>
<formControlPr xmlns="http://schemas.microsoft.com/office/spreadsheetml/2009/9/main" objectType="Drop" dropLines="10" dropStyle="combo" dx="17" fmlaLink="$B$53" fmlaRange="Arbeitsgänge!$C$26:$D$80" noThreeD="1" sel="30" val="28"/>
</file>

<file path=xl/ctrlProps/ctrlProp366.xml><?xml version="1.0" encoding="utf-8"?>
<formControlPr xmlns="http://schemas.microsoft.com/office/spreadsheetml/2009/9/main" objectType="Drop" dropLines="10" dropStyle="combo" dx="17" fmlaLink="$B$54" fmlaRange="Arbeitsgänge!$C$26:$C$80" noThreeD="1" sel="32" val="31"/>
</file>

<file path=xl/ctrlProps/ctrlProp367.xml><?xml version="1.0" encoding="utf-8"?>
<formControlPr xmlns="http://schemas.microsoft.com/office/spreadsheetml/2009/9/main" objectType="Drop" dropLines="10" dropStyle="combo" dx="17" fmlaLink="$B$55" fmlaRange="Arbeitsgänge!$C$26:$C$80" noThreeD="1" sel="43" val="36"/>
</file>

<file path=xl/ctrlProps/ctrlProp368.xml><?xml version="1.0" encoding="utf-8"?>
<formControlPr xmlns="http://schemas.microsoft.com/office/spreadsheetml/2009/9/main" objectType="Drop" dropLines="10" dropStyle="combo" dx="17" fmlaLink="$B19" fmlaRange="Prämien!$D$8:$M$37" noThreeD="1" val="9"/>
</file>

<file path=xl/ctrlProps/ctrlProp369.xml><?xml version="1.0" encoding="utf-8"?>
<formControlPr xmlns="http://schemas.microsoft.com/office/spreadsheetml/2009/9/main" objectType="Drop" dropLines="10" dropStyle="combo" dx="17" fmlaLink="$B20" fmlaRange="Prämien!$D$8:$M$37" noThreeD="1" sel="3" val="2"/>
</file>

<file path=xl/ctrlProps/ctrlProp37.xml><?xml version="1.0" encoding="utf-8"?>
<formControlPr xmlns="http://schemas.microsoft.com/office/spreadsheetml/2009/9/main" objectType="Drop" dropLines="10" dropStyle="combo" dx="17" fmlaLink="$B$54" fmlaRange="Arbeitsgänge!$C$26:$C$78" noThreeD="1" sel="49" val="43"/>
</file>

<file path=xl/ctrlProps/ctrlProp370.xml><?xml version="1.0" encoding="utf-8"?>
<formControlPr xmlns="http://schemas.microsoft.com/office/spreadsheetml/2009/9/main" objectType="Drop" dropLines="10" dropStyle="combo" dx="17" fmlaLink="$B21" fmlaRange="Prämien!$D$8:$M$37" noThreeD="1" sel="18" val="14"/>
</file>

<file path=xl/ctrlProps/ctrlProp371.xml><?xml version="1.0" encoding="utf-8"?>
<formControlPr xmlns="http://schemas.microsoft.com/office/spreadsheetml/2009/9/main" objectType="Drop" dropLines="10" dropStyle="combo" dx="17" fmlaLink="$B22" fmlaRange="Prämien!$D$8:$M$37" noThreeD="1" sel="30" val="20"/>
</file>

<file path=xl/ctrlProps/ctrlProp372.xml><?xml version="1.0" encoding="utf-8"?>
<formControlPr xmlns="http://schemas.microsoft.com/office/spreadsheetml/2009/9/main" objectType="Drop" dropLines="10" dropStyle="combo" dx="17" fmlaLink="$B23" fmlaRange="Prämien!$D$8:$M$37" noThreeD="1" sel="6" val="2"/>
</file>

<file path=xl/ctrlProps/ctrlProp373.xml><?xml version="1.0" encoding="utf-8"?>
<formControlPr xmlns="http://schemas.microsoft.com/office/spreadsheetml/2009/9/main" objectType="Drop" dropLines="10" dropStyle="combo" dx="17" fmlaLink="$B25" fmlaRange="Prämien!$Q$8:$Y$9" noThreeD="1" val="0"/>
</file>

<file path=xl/ctrlProps/ctrlProp374.xml><?xml version="1.0" encoding="utf-8"?>
<formControlPr xmlns="http://schemas.microsoft.com/office/spreadsheetml/2009/9/main" objectType="CheckBox" checked="Checked" fmlaLink="$R$19" lockText="1" noThreeD="1"/>
</file>

<file path=xl/ctrlProps/ctrlProp375.xml><?xml version="1.0" encoding="utf-8"?>
<formControlPr xmlns="http://schemas.microsoft.com/office/spreadsheetml/2009/9/main" objectType="CheckBox" fmlaLink="$R$20" lockText="1" noThreeD="1"/>
</file>

<file path=xl/ctrlProps/ctrlProp376.xml><?xml version="1.0" encoding="utf-8"?>
<formControlPr xmlns="http://schemas.microsoft.com/office/spreadsheetml/2009/9/main" objectType="CheckBox" fmlaLink="$R$21" lockText="1" noThreeD="1"/>
</file>

<file path=xl/ctrlProps/ctrlProp377.xml><?xml version="1.0" encoding="utf-8"?>
<formControlPr xmlns="http://schemas.microsoft.com/office/spreadsheetml/2009/9/main" objectType="CheckBox" fmlaLink="$R$22" lockText="1" noThreeD="1"/>
</file>

<file path=xl/ctrlProps/ctrlProp378.xml><?xml version="1.0" encoding="utf-8"?>
<formControlPr xmlns="http://schemas.microsoft.com/office/spreadsheetml/2009/9/main" objectType="CheckBox" fmlaLink="$R$23" lockText="1" noThreeD="1"/>
</file>

<file path=xl/ctrlProps/ctrlProp379.xml><?xml version="1.0" encoding="utf-8"?>
<formControlPr xmlns="http://schemas.microsoft.com/office/spreadsheetml/2009/9/main" objectType="CheckBox" checked="Checked" fmlaLink="$U$19" lockText="1" noThreeD="1"/>
</file>

<file path=xl/ctrlProps/ctrlProp38.xml><?xml version="1.0" encoding="utf-8"?>
<formControlPr xmlns="http://schemas.microsoft.com/office/spreadsheetml/2009/9/main" objectType="Drop" dropLines="10" dropStyle="combo" dx="17" fmlaLink="$B$55" fmlaRange="Arbeitsgänge!$C$26:$C$78" noThreeD="1" sel="49" val="43"/>
</file>

<file path=xl/ctrlProps/ctrlProp380.xml><?xml version="1.0" encoding="utf-8"?>
<formControlPr xmlns="http://schemas.microsoft.com/office/spreadsheetml/2009/9/main" objectType="CheckBox" fmlaLink="$U$20" lockText="1" noThreeD="1"/>
</file>

<file path=xl/ctrlProps/ctrlProp381.xml><?xml version="1.0" encoding="utf-8"?>
<formControlPr xmlns="http://schemas.microsoft.com/office/spreadsheetml/2009/9/main" objectType="CheckBox" fmlaLink="$U$21" lockText="1" noThreeD="1"/>
</file>

<file path=xl/ctrlProps/ctrlProp382.xml><?xml version="1.0" encoding="utf-8"?>
<formControlPr xmlns="http://schemas.microsoft.com/office/spreadsheetml/2009/9/main" objectType="CheckBox" fmlaLink="$U$22" lockText="1" noThreeD="1"/>
</file>

<file path=xl/ctrlProps/ctrlProp383.xml><?xml version="1.0" encoding="utf-8"?>
<formControlPr xmlns="http://schemas.microsoft.com/office/spreadsheetml/2009/9/main" objectType="CheckBox" fmlaLink="$U$23" lockText="1" noThreeD="1"/>
</file>

<file path=xl/ctrlProps/ctrlProp384.xml><?xml version="1.0" encoding="utf-8"?>
<formControlPr xmlns="http://schemas.microsoft.com/office/spreadsheetml/2009/9/main" objectType="CheckBox" checked="Checked" fmlaLink="$X$19" lockText="1" noThreeD="1"/>
</file>

<file path=xl/ctrlProps/ctrlProp385.xml><?xml version="1.0" encoding="utf-8"?>
<formControlPr xmlns="http://schemas.microsoft.com/office/spreadsheetml/2009/9/main" objectType="CheckBox" fmlaLink="$X$20" lockText="1" noThreeD="1"/>
</file>

<file path=xl/ctrlProps/ctrlProp386.xml><?xml version="1.0" encoding="utf-8"?>
<formControlPr xmlns="http://schemas.microsoft.com/office/spreadsheetml/2009/9/main" objectType="CheckBox" fmlaLink="$X$21" lockText="1" noThreeD="1"/>
</file>

<file path=xl/ctrlProps/ctrlProp387.xml><?xml version="1.0" encoding="utf-8"?>
<formControlPr xmlns="http://schemas.microsoft.com/office/spreadsheetml/2009/9/main" objectType="CheckBox" fmlaLink="$X$22" lockText="1" noThreeD="1"/>
</file>

<file path=xl/ctrlProps/ctrlProp388.xml><?xml version="1.0" encoding="utf-8"?>
<formControlPr xmlns="http://schemas.microsoft.com/office/spreadsheetml/2009/9/main" objectType="CheckBox" fmlaLink="$X$23" lockText="1" noThreeD="1"/>
</file>

<file path=xl/ctrlProps/ctrlProp389.xml><?xml version="1.0" encoding="utf-8"?>
<formControlPr xmlns="http://schemas.microsoft.com/office/spreadsheetml/2009/9/main" objectType="Drop" dropLines="10" dropStyle="combo" dx="17" fmlaLink="$B$45" fmlaRange="Arbeitsgänge!$C$26:$C$78" noThreeD="1" sel="22" val="15"/>
</file>

<file path=xl/ctrlProps/ctrlProp39.xml><?xml version="1.0" encoding="utf-8"?>
<formControlPr xmlns="http://schemas.microsoft.com/office/spreadsheetml/2009/9/main" objectType="Drop" dropLines="10" dropStyle="combo" dx="17" fmlaLink="$B$56" fmlaRange="Arbeitsgänge!$C$26:$C$78" noThreeD="1" sel="49" val="43"/>
</file>

<file path=xl/ctrlProps/ctrlProp390.xml><?xml version="1.0" encoding="utf-8"?>
<formControlPr xmlns="http://schemas.microsoft.com/office/spreadsheetml/2009/9/main" objectType="Drop" dropLines="10" dropStyle="combo" dx="17" fmlaLink="$B$46" fmlaRange="Arbeitsgänge!$C$26:$C$80" noThreeD="1" val="0"/>
</file>

<file path=xl/ctrlProps/ctrlProp391.xml><?xml version="1.0" encoding="utf-8"?>
<formControlPr xmlns="http://schemas.microsoft.com/office/spreadsheetml/2009/9/main" objectType="Drop" dropLines="10" dropStyle="combo" dx="17" fmlaLink="$B$47" fmlaRange="Arbeitsgänge!$C$26:$C$80" noThreeD="1" sel="3" val="2"/>
</file>

<file path=xl/ctrlProps/ctrlProp392.xml><?xml version="1.0" encoding="utf-8"?>
<formControlPr xmlns="http://schemas.microsoft.com/office/spreadsheetml/2009/9/main" objectType="Drop" dropLines="10" dropStyle="combo" dx="17" fmlaLink="$B$48" fmlaRange="Arbeitsgänge!$C$26:$C$80" noThreeD="1" sel="4" val="0"/>
</file>

<file path=xl/ctrlProps/ctrlProp393.xml><?xml version="1.0" encoding="utf-8"?>
<formControlPr xmlns="http://schemas.microsoft.com/office/spreadsheetml/2009/9/main" objectType="Drop" dropLines="10" dropStyle="combo" dx="17" fmlaLink="$B$49" fmlaRange="Arbeitsgänge!$C$26:$C$80" noThreeD="1" sel="22" val="21"/>
</file>

<file path=xl/ctrlProps/ctrlProp394.xml><?xml version="1.0" encoding="utf-8"?>
<formControlPr xmlns="http://schemas.microsoft.com/office/spreadsheetml/2009/9/main" objectType="Drop" dropLines="10" dropStyle="combo" dx="17" fmlaLink="$B$50" fmlaRange="Arbeitsgänge!$C$26:$C$80" noThreeD="1" sel="14" val="10"/>
</file>

<file path=xl/ctrlProps/ctrlProp395.xml><?xml version="1.0" encoding="utf-8"?>
<formControlPr xmlns="http://schemas.microsoft.com/office/spreadsheetml/2009/9/main" objectType="Drop" dropLines="10" dropStyle="combo" dx="17" fmlaLink="$B$51" fmlaRange="Arbeitsgänge!$C$26:$C$80" noThreeD="1" sel="15" val="13"/>
</file>

<file path=xl/ctrlProps/ctrlProp396.xml><?xml version="1.0" encoding="utf-8"?>
<formControlPr xmlns="http://schemas.microsoft.com/office/spreadsheetml/2009/9/main" objectType="Drop" dropLines="10" dropStyle="combo" dx="17" fmlaLink="$B$52" fmlaRange="Arbeitsgänge!$C$26:$C$80" noThreeD="1" sel="16" val="14"/>
</file>

<file path=xl/ctrlProps/ctrlProp397.xml><?xml version="1.0" encoding="utf-8"?>
<formControlPr xmlns="http://schemas.microsoft.com/office/spreadsheetml/2009/9/main" objectType="Drop" dropLines="10" dropStyle="combo" dx="17" fmlaLink="$B$53" fmlaRange="Arbeitsgänge!$C$26:$D$80" noThreeD="1" sel="44" val="41"/>
</file>

<file path=xl/ctrlProps/ctrlProp398.xml><?xml version="1.0" encoding="utf-8"?>
<formControlPr xmlns="http://schemas.microsoft.com/office/spreadsheetml/2009/9/main" objectType="Drop" dropLines="10" dropStyle="combo" dx="17" fmlaLink="$B$54" fmlaRange="Arbeitsgänge!$C$26:$C$80" noThreeD="1" sel="45" val="44"/>
</file>

<file path=xl/ctrlProps/ctrlProp399.xml><?xml version="1.0" encoding="utf-8"?>
<formControlPr xmlns="http://schemas.microsoft.com/office/spreadsheetml/2009/9/main" objectType="Drop" dropLines="10" dropStyle="combo" dx="17" fmlaLink="$B$55" fmlaRange="Arbeitsgänge!$C$26:$C$80" noThreeD="1" sel="2" val="0"/>
</file>

<file path=xl/ctrlProps/ctrlProp4.xml><?xml version="1.0" encoding="utf-8"?>
<formControlPr xmlns="http://schemas.microsoft.com/office/spreadsheetml/2009/9/main" objectType="Drop" dropLines="6" dropStyle="combo" dx="17" fmlaLink="$X$5" fmlaRange="$T$4:$T$13" noThreeD="1" sel="4" val="3"/>
</file>

<file path=xl/ctrlProps/ctrlProp40.xml><?xml version="1.0" encoding="utf-8"?>
<formControlPr xmlns="http://schemas.microsoft.com/office/spreadsheetml/2009/9/main" objectType="Drop" dropLines="10" dropStyle="combo" dx="17" fmlaLink="$B$26" fmlaRange="Prämien!$D$8:$M$37" noThreeD="1" val="0"/>
</file>

<file path=xl/ctrlProps/ctrlProp400.xml><?xml version="1.0" encoding="utf-8"?>
<formControlPr xmlns="http://schemas.microsoft.com/office/spreadsheetml/2009/9/main" objectType="Drop" dropLines="10" dropStyle="combo" dx="17" fmlaLink="$B19" fmlaRange="Prämien!$D$8:$M$37" noThreeD="1" val="0"/>
</file>

<file path=xl/ctrlProps/ctrlProp401.xml><?xml version="1.0" encoding="utf-8"?>
<formControlPr xmlns="http://schemas.microsoft.com/office/spreadsheetml/2009/9/main" objectType="Drop" dropLines="10" dropStyle="combo" dx="17" fmlaLink="$B20" fmlaRange="Prämien!$D$8:$M$37" noThreeD="1" sel="3" val="0"/>
</file>

<file path=xl/ctrlProps/ctrlProp402.xml><?xml version="1.0" encoding="utf-8"?>
<formControlPr xmlns="http://schemas.microsoft.com/office/spreadsheetml/2009/9/main" objectType="Drop" dropLines="10" dropStyle="combo" dx="17" fmlaLink="$B21" fmlaRange="Prämien!$D$8:$M$37" noThreeD="1" sel="18" val="14"/>
</file>

<file path=xl/ctrlProps/ctrlProp403.xml><?xml version="1.0" encoding="utf-8"?>
<formControlPr xmlns="http://schemas.microsoft.com/office/spreadsheetml/2009/9/main" objectType="Drop" dropLines="10" dropStyle="combo" dx="17" fmlaLink="$B22" fmlaRange="Prämien!$D$8:$M$37" noThreeD="1" sel="30" val="20"/>
</file>

<file path=xl/ctrlProps/ctrlProp404.xml><?xml version="1.0" encoding="utf-8"?>
<formControlPr xmlns="http://schemas.microsoft.com/office/spreadsheetml/2009/9/main" objectType="Drop" dropLines="10" dropStyle="combo" dx="17" fmlaLink="$B23" fmlaRange="Prämien!$D$8:$M$37" noThreeD="1" sel="6" val="2"/>
</file>

<file path=xl/ctrlProps/ctrlProp405.xml><?xml version="1.0" encoding="utf-8"?>
<formControlPr xmlns="http://schemas.microsoft.com/office/spreadsheetml/2009/9/main" objectType="Drop" dropLines="10" dropStyle="combo" dx="17" fmlaLink="$B25" fmlaRange="Prämien!$Q$8:$Y$10" noThreeD="1" val="0"/>
</file>

<file path=xl/ctrlProps/ctrlProp406.xml><?xml version="1.0" encoding="utf-8"?>
<formControlPr xmlns="http://schemas.microsoft.com/office/spreadsheetml/2009/9/main" objectType="CheckBox" checked="Checked" fmlaLink="$R$19" lockText="1" noThreeD="1"/>
</file>

<file path=xl/ctrlProps/ctrlProp407.xml><?xml version="1.0" encoding="utf-8"?>
<formControlPr xmlns="http://schemas.microsoft.com/office/spreadsheetml/2009/9/main" objectType="CheckBox" fmlaLink="$R$20" lockText="1" noThreeD="1"/>
</file>

<file path=xl/ctrlProps/ctrlProp408.xml><?xml version="1.0" encoding="utf-8"?>
<formControlPr xmlns="http://schemas.microsoft.com/office/spreadsheetml/2009/9/main" objectType="CheckBox" fmlaLink="$R$21" lockText="1" noThreeD="1"/>
</file>

<file path=xl/ctrlProps/ctrlProp409.xml><?xml version="1.0" encoding="utf-8"?>
<formControlPr xmlns="http://schemas.microsoft.com/office/spreadsheetml/2009/9/main" objectType="CheckBox" fmlaLink="$R$22" lockText="1" noThreeD="1"/>
</file>

<file path=xl/ctrlProps/ctrlProp41.xml><?xml version="1.0" encoding="utf-8"?>
<formControlPr xmlns="http://schemas.microsoft.com/office/spreadsheetml/2009/9/main" objectType="Drop" dropLines="10" dropStyle="combo" dx="17" fmlaLink="$B$28" fmlaRange="Prämien!$D$8:$M$37" noThreeD="1" sel="30" val="20"/>
</file>

<file path=xl/ctrlProps/ctrlProp410.xml><?xml version="1.0" encoding="utf-8"?>
<formControlPr xmlns="http://schemas.microsoft.com/office/spreadsheetml/2009/9/main" objectType="CheckBox" fmlaLink="$R$23" lockText="1" noThreeD="1"/>
</file>

<file path=xl/ctrlProps/ctrlProp411.xml><?xml version="1.0" encoding="utf-8"?>
<formControlPr xmlns="http://schemas.microsoft.com/office/spreadsheetml/2009/9/main" objectType="CheckBox" checked="Checked" fmlaLink="$U$19" lockText="1" noThreeD="1"/>
</file>

<file path=xl/ctrlProps/ctrlProp412.xml><?xml version="1.0" encoding="utf-8"?>
<formControlPr xmlns="http://schemas.microsoft.com/office/spreadsheetml/2009/9/main" objectType="CheckBox" fmlaLink="$U$20" lockText="1" noThreeD="1"/>
</file>

<file path=xl/ctrlProps/ctrlProp413.xml><?xml version="1.0" encoding="utf-8"?>
<formControlPr xmlns="http://schemas.microsoft.com/office/spreadsheetml/2009/9/main" objectType="CheckBox" fmlaLink="$U$21" lockText="1" noThreeD="1"/>
</file>

<file path=xl/ctrlProps/ctrlProp414.xml><?xml version="1.0" encoding="utf-8"?>
<formControlPr xmlns="http://schemas.microsoft.com/office/spreadsheetml/2009/9/main" objectType="CheckBox" fmlaLink="$U$22" lockText="1" noThreeD="1"/>
</file>

<file path=xl/ctrlProps/ctrlProp415.xml><?xml version="1.0" encoding="utf-8"?>
<formControlPr xmlns="http://schemas.microsoft.com/office/spreadsheetml/2009/9/main" objectType="CheckBox" fmlaLink="$U$23" lockText="1" noThreeD="1"/>
</file>

<file path=xl/ctrlProps/ctrlProp416.xml><?xml version="1.0" encoding="utf-8"?>
<formControlPr xmlns="http://schemas.microsoft.com/office/spreadsheetml/2009/9/main" objectType="CheckBox" checked="Checked" fmlaLink="$X$19" lockText="1" noThreeD="1"/>
</file>

<file path=xl/ctrlProps/ctrlProp417.xml><?xml version="1.0" encoding="utf-8"?>
<formControlPr xmlns="http://schemas.microsoft.com/office/spreadsheetml/2009/9/main" objectType="CheckBox" fmlaLink="$X$20" lockText="1" noThreeD="1"/>
</file>

<file path=xl/ctrlProps/ctrlProp418.xml><?xml version="1.0" encoding="utf-8"?>
<formControlPr xmlns="http://schemas.microsoft.com/office/spreadsheetml/2009/9/main" objectType="CheckBox" fmlaLink="$X$21" lockText="1" noThreeD="1"/>
</file>

<file path=xl/ctrlProps/ctrlProp419.xml><?xml version="1.0" encoding="utf-8"?>
<formControlPr xmlns="http://schemas.microsoft.com/office/spreadsheetml/2009/9/main" objectType="CheckBox" fmlaLink="$X$22" lockText="1" noThreeD="1"/>
</file>

<file path=xl/ctrlProps/ctrlProp42.xml><?xml version="1.0" encoding="utf-8"?>
<formControlPr xmlns="http://schemas.microsoft.com/office/spreadsheetml/2009/9/main" objectType="Drop" dropLines="10" dropStyle="combo" dx="17" fmlaLink="$B$29" fmlaRange="Prämien!$D$8:$M$37" noThreeD="1" sel="30" val="20"/>
</file>

<file path=xl/ctrlProps/ctrlProp420.xml><?xml version="1.0" encoding="utf-8"?>
<formControlPr xmlns="http://schemas.microsoft.com/office/spreadsheetml/2009/9/main" objectType="CheckBox" fmlaLink="$X$23" lockText="1" noThreeD="1"/>
</file>

<file path=xl/ctrlProps/ctrlProp421.xml><?xml version="1.0" encoding="utf-8"?>
<formControlPr xmlns="http://schemas.microsoft.com/office/spreadsheetml/2009/9/main" objectType="Drop" dropLines="10" dropStyle="combo" dx="17" fmlaLink="$B$45" fmlaRange="Arbeitsgänge!$C$26:$C$78" noThreeD="1" sel="22" val="15"/>
</file>

<file path=xl/ctrlProps/ctrlProp422.xml><?xml version="1.0" encoding="utf-8"?>
<formControlPr xmlns="http://schemas.microsoft.com/office/spreadsheetml/2009/9/main" objectType="Drop" dropLines="10" dropStyle="combo" dx="17" fmlaLink="$B$46" fmlaRange="Arbeitsgänge!$C$26:$C$80" noThreeD="1" val="0"/>
</file>

<file path=xl/ctrlProps/ctrlProp423.xml><?xml version="1.0" encoding="utf-8"?>
<formControlPr xmlns="http://schemas.microsoft.com/office/spreadsheetml/2009/9/main" objectType="Drop" dropLines="10" dropStyle="combo" dx="17" fmlaLink="$B$47" fmlaRange="Arbeitsgänge!$C$26:$C$80" noThreeD="1" sel="4" val="2"/>
</file>

<file path=xl/ctrlProps/ctrlProp424.xml><?xml version="1.0" encoding="utf-8"?>
<formControlPr xmlns="http://schemas.microsoft.com/office/spreadsheetml/2009/9/main" objectType="Drop" dropLines="10" dropStyle="combo" dx="17" fmlaLink="$B$48" fmlaRange="Arbeitsgänge!$C$26:$C$80" noThreeD="1" sel="8" val="3"/>
</file>

<file path=xl/ctrlProps/ctrlProp425.xml><?xml version="1.0" encoding="utf-8"?>
<formControlPr xmlns="http://schemas.microsoft.com/office/spreadsheetml/2009/9/main" objectType="Drop" dropLines="10" dropStyle="combo" dx="17" fmlaLink="$B$49" fmlaRange="Arbeitsgänge!$C$26:$C$80" noThreeD="1" sel="22" val="14"/>
</file>

<file path=xl/ctrlProps/ctrlProp426.xml><?xml version="1.0" encoding="utf-8"?>
<formControlPr xmlns="http://schemas.microsoft.com/office/spreadsheetml/2009/9/main" objectType="Drop" dropLines="10" dropStyle="combo" dx="17" fmlaLink="$B$50" fmlaRange="Arbeitsgänge!$C$26:$C$80" noThreeD="1" sel="14" val="10"/>
</file>

<file path=xl/ctrlProps/ctrlProp427.xml><?xml version="1.0" encoding="utf-8"?>
<formControlPr xmlns="http://schemas.microsoft.com/office/spreadsheetml/2009/9/main" objectType="Drop" dropLines="10" dropStyle="combo" dx="17" fmlaLink="$B$51" fmlaRange="Arbeitsgänge!$C$26:$C$80" noThreeD="1" sel="22" val="14"/>
</file>

<file path=xl/ctrlProps/ctrlProp428.xml><?xml version="1.0" encoding="utf-8"?>
<formControlPr xmlns="http://schemas.microsoft.com/office/spreadsheetml/2009/9/main" objectType="Drop" dropLines="10" dropStyle="combo" dx="17" fmlaLink="$B$52" fmlaRange="Arbeitsgänge!$C$26:$C$80" noThreeD="1" sel="16" val="14"/>
</file>

<file path=xl/ctrlProps/ctrlProp429.xml><?xml version="1.0" encoding="utf-8"?>
<formControlPr xmlns="http://schemas.microsoft.com/office/spreadsheetml/2009/9/main" objectType="Drop" dropLines="10" dropStyle="combo" dx="17" fmlaLink="$B$53" fmlaRange="Arbeitsgänge!$C$26:$D$80" noThreeD="1" sel="44" val="41"/>
</file>

<file path=xl/ctrlProps/ctrlProp43.xml><?xml version="1.0" encoding="utf-8"?>
<formControlPr xmlns="http://schemas.microsoft.com/office/spreadsheetml/2009/9/main" objectType="Drop" dropLines="10" dropStyle="combo" dx="17" fmlaLink="$B$27" fmlaRange="Prämien!$D$8:$M$37" noThreeD="1" sel="26" val="19"/>
</file>

<file path=xl/ctrlProps/ctrlProp430.xml><?xml version="1.0" encoding="utf-8"?>
<formControlPr xmlns="http://schemas.microsoft.com/office/spreadsheetml/2009/9/main" objectType="Drop" dropLines="10" dropStyle="combo" dx="17" fmlaLink="$B$54" fmlaRange="Arbeitsgänge!$C$26:$C$80" noThreeD="1" sel="45" val="44"/>
</file>

<file path=xl/ctrlProps/ctrlProp431.xml><?xml version="1.0" encoding="utf-8"?>
<formControlPr xmlns="http://schemas.microsoft.com/office/spreadsheetml/2009/9/main" objectType="Drop" dropLines="10" dropStyle="combo" dx="17" fmlaLink="$B$55" fmlaRange="Arbeitsgänge!$C$26:$C$80" noThreeD="1" sel="34" val="27"/>
</file>

<file path=xl/ctrlProps/ctrlProp432.xml><?xml version="1.0" encoding="utf-8"?>
<formControlPr xmlns="http://schemas.microsoft.com/office/spreadsheetml/2009/9/main" objectType="Drop" dropLines="10" dropStyle="combo" dx="17" fmlaLink="$B19" fmlaRange="Prämien!$D$8:$M$37" noThreeD="1" val="0"/>
</file>

<file path=xl/ctrlProps/ctrlProp433.xml><?xml version="1.0" encoding="utf-8"?>
<formControlPr xmlns="http://schemas.microsoft.com/office/spreadsheetml/2009/9/main" objectType="Drop" dropLines="10" dropStyle="combo" dx="17" fmlaLink="$B20" fmlaRange="Prämien!$D$8:$M$37" noThreeD="1" sel="3" val="0"/>
</file>

<file path=xl/ctrlProps/ctrlProp434.xml><?xml version="1.0" encoding="utf-8"?>
<formControlPr xmlns="http://schemas.microsoft.com/office/spreadsheetml/2009/9/main" objectType="Drop" dropLines="10" dropStyle="combo" dx="17" fmlaLink="$B21" fmlaRange="Prämien!$D$8:$M$37" noThreeD="1" sel="18" val="14"/>
</file>

<file path=xl/ctrlProps/ctrlProp435.xml><?xml version="1.0" encoding="utf-8"?>
<formControlPr xmlns="http://schemas.microsoft.com/office/spreadsheetml/2009/9/main" objectType="Drop" dropLines="10" dropStyle="combo" dx="17" fmlaLink="$B22" fmlaRange="Prämien!$D$8:$M$37" noThreeD="1" sel="30" val="20"/>
</file>

<file path=xl/ctrlProps/ctrlProp436.xml><?xml version="1.0" encoding="utf-8"?>
<formControlPr xmlns="http://schemas.microsoft.com/office/spreadsheetml/2009/9/main" objectType="Drop" dropLines="10" dropStyle="combo" dx="17" fmlaLink="$B23" fmlaRange="Prämien!$D$8:$M$37" noThreeD="1" sel="6" val="2"/>
</file>

<file path=xl/ctrlProps/ctrlProp437.xml><?xml version="1.0" encoding="utf-8"?>
<formControlPr xmlns="http://schemas.microsoft.com/office/spreadsheetml/2009/9/main" objectType="Drop" dropLines="10" dropStyle="combo" dx="17" fmlaLink="$B25" fmlaRange="Prämien!$Q$8:$Y$10" noThreeD="1" val="0"/>
</file>

<file path=xl/ctrlProps/ctrlProp438.xml><?xml version="1.0" encoding="utf-8"?>
<formControlPr xmlns="http://schemas.microsoft.com/office/spreadsheetml/2009/9/main" objectType="CheckBox" fmlaLink="$R$19" lockText="1" noThreeD="1"/>
</file>

<file path=xl/ctrlProps/ctrlProp439.xml><?xml version="1.0" encoding="utf-8"?>
<formControlPr xmlns="http://schemas.microsoft.com/office/spreadsheetml/2009/9/main" objectType="CheckBox" fmlaLink="$R$20" lockText="1" noThreeD="1"/>
</file>

<file path=xl/ctrlProps/ctrlProp44.xml><?xml version="1.0" encoding="utf-8"?>
<formControlPr xmlns="http://schemas.microsoft.com/office/spreadsheetml/2009/9/main" objectType="Drop" dropLines="3" dropStyle="combo" dx="17" fmlaLink="$B$31" fmlaRange="Prämien!$Q$8:$Y$9" noThreeD="1" val="0"/>
</file>

<file path=xl/ctrlProps/ctrlProp440.xml><?xml version="1.0" encoding="utf-8"?>
<formControlPr xmlns="http://schemas.microsoft.com/office/spreadsheetml/2009/9/main" objectType="CheckBox" fmlaLink="$R$21" lockText="1" noThreeD="1"/>
</file>

<file path=xl/ctrlProps/ctrlProp441.xml><?xml version="1.0" encoding="utf-8"?>
<formControlPr xmlns="http://schemas.microsoft.com/office/spreadsheetml/2009/9/main" objectType="CheckBox" fmlaLink="$R$22" lockText="1" noThreeD="1"/>
</file>

<file path=xl/ctrlProps/ctrlProp442.xml><?xml version="1.0" encoding="utf-8"?>
<formControlPr xmlns="http://schemas.microsoft.com/office/spreadsheetml/2009/9/main" objectType="CheckBox" fmlaLink="$R$23" lockText="1" noThreeD="1"/>
</file>

<file path=xl/ctrlProps/ctrlProp443.xml><?xml version="1.0" encoding="utf-8"?>
<formControlPr xmlns="http://schemas.microsoft.com/office/spreadsheetml/2009/9/main" objectType="CheckBox" fmlaLink="$U$19" lockText="1" noThreeD="1"/>
</file>

<file path=xl/ctrlProps/ctrlProp444.xml><?xml version="1.0" encoding="utf-8"?>
<formControlPr xmlns="http://schemas.microsoft.com/office/spreadsheetml/2009/9/main" objectType="CheckBox" fmlaLink="$U$20" lockText="1" noThreeD="1"/>
</file>

<file path=xl/ctrlProps/ctrlProp445.xml><?xml version="1.0" encoding="utf-8"?>
<formControlPr xmlns="http://schemas.microsoft.com/office/spreadsheetml/2009/9/main" objectType="CheckBox" fmlaLink="$U$21" lockText="1" noThreeD="1"/>
</file>

<file path=xl/ctrlProps/ctrlProp446.xml><?xml version="1.0" encoding="utf-8"?>
<formControlPr xmlns="http://schemas.microsoft.com/office/spreadsheetml/2009/9/main" objectType="CheckBox" fmlaLink="$U$22" lockText="1" noThreeD="1"/>
</file>

<file path=xl/ctrlProps/ctrlProp447.xml><?xml version="1.0" encoding="utf-8"?>
<formControlPr xmlns="http://schemas.microsoft.com/office/spreadsheetml/2009/9/main" objectType="CheckBox" fmlaLink="$U$23" lockText="1" noThreeD="1"/>
</file>

<file path=xl/ctrlProps/ctrlProp448.xml><?xml version="1.0" encoding="utf-8"?>
<formControlPr xmlns="http://schemas.microsoft.com/office/spreadsheetml/2009/9/main" objectType="CheckBox" fmlaLink="$X$19" lockText="1" noThreeD="1"/>
</file>

<file path=xl/ctrlProps/ctrlProp449.xml><?xml version="1.0" encoding="utf-8"?>
<formControlPr xmlns="http://schemas.microsoft.com/office/spreadsheetml/2009/9/main" objectType="CheckBox" fmlaLink="$X$20" lockText="1" noThreeD="1"/>
</file>

<file path=xl/ctrlProps/ctrlProp45.xml><?xml version="1.0" encoding="utf-8"?>
<formControlPr xmlns="http://schemas.microsoft.com/office/spreadsheetml/2009/9/main" objectType="Drop" dropLines="6" dropStyle="combo" dx="17" fmlaLink="$V$5" fmlaRange="$T$4:$T$15" noThreeD="1" sel="4" val="2"/>
</file>

<file path=xl/ctrlProps/ctrlProp450.xml><?xml version="1.0" encoding="utf-8"?>
<formControlPr xmlns="http://schemas.microsoft.com/office/spreadsheetml/2009/9/main" objectType="CheckBox" fmlaLink="$X$21" lockText="1" noThreeD="1"/>
</file>

<file path=xl/ctrlProps/ctrlProp451.xml><?xml version="1.0" encoding="utf-8"?>
<formControlPr xmlns="http://schemas.microsoft.com/office/spreadsheetml/2009/9/main" objectType="CheckBox" fmlaLink="$X$22" lockText="1" noThreeD="1"/>
</file>

<file path=xl/ctrlProps/ctrlProp452.xml><?xml version="1.0" encoding="utf-8"?>
<formControlPr xmlns="http://schemas.microsoft.com/office/spreadsheetml/2009/9/main" objectType="CheckBox" fmlaLink="$X$23" lockText="1" noThreeD="1"/>
</file>

<file path=xl/ctrlProps/ctrlProp453.xml><?xml version="1.0" encoding="utf-8"?>
<formControlPr xmlns="http://schemas.microsoft.com/office/spreadsheetml/2009/9/main" objectType="Drop" dropLines="10" dropStyle="combo" dx="17" fmlaLink="$B$45" fmlaRange="Arbeitsgänge!$C$26:$C$78" noThreeD="1" sel="22" val="15"/>
</file>

<file path=xl/ctrlProps/ctrlProp454.xml><?xml version="1.0" encoding="utf-8"?>
<formControlPr xmlns="http://schemas.microsoft.com/office/spreadsheetml/2009/9/main" objectType="Drop" dropLines="10" dropStyle="combo" dx="17" fmlaLink="$B$46" fmlaRange="Arbeitsgänge!$C$26:$C$80" noThreeD="1" val="0"/>
</file>

<file path=xl/ctrlProps/ctrlProp455.xml><?xml version="1.0" encoding="utf-8"?>
<formControlPr xmlns="http://schemas.microsoft.com/office/spreadsheetml/2009/9/main" objectType="Drop" dropLines="10" dropStyle="combo" dx="17" fmlaLink="$B$47" fmlaRange="Arbeitsgänge!$C$26:$C$80" noThreeD="1" sel="8" val="22"/>
</file>

<file path=xl/ctrlProps/ctrlProp456.xml><?xml version="1.0" encoding="utf-8"?>
<formControlPr xmlns="http://schemas.microsoft.com/office/spreadsheetml/2009/9/main" objectType="Drop" dropLines="10" dropStyle="combo" dx="17" fmlaLink="$B$48" fmlaRange="Arbeitsgänge!$C$26:$C$80" noThreeD="1" sel="25" val="0"/>
</file>

<file path=xl/ctrlProps/ctrlProp457.xml><?xml version="1.0" encoding="utf-8"?>
<formControlPr xmlns="http://schemas.microsoft.com/office/spreadsheetml/2009/9/main" objectType="Drop" dropLines="10" dropStyle="combo" dx="17" fmlaLink="$B$49" fmlaRange="Arbeitsgänge!$C$26:$C$80" noThreeD="1" sel="22" val="21"/>
</file>

<file path=xl/ctrlProps/ctrlProp458.xml><?xml version="1.0" encoding="utf-8"?>
<formControlPr xmlns="http://schemas.microsoft.com/office/spreadsheetml/2009/9/main" objectType="Drop" dropLines="10" dropStyle="combo" dx="17" fmlaLink="$B$50" fmlaRange="Arbeitsgänge!$C$26:$C$80" noThreeD="1" sel="28" val="20"/>
</file>

<file path=xl/ctrlProps/ctrlProp459.xml><?xml version="1.0" encoding="utf-8"?>
<formControlPr xmlns="http://schemas.microsoft.com/office/spreadsheetml/2009/9/main" objectType="Drop" dropLines="10" dropStyle="combo" dx="17" fmlaLink="$B$51" fmlaRange="Arbeitsgänge!$C$26:$C$80" noThreeD="1" sel="31" val="22"/>
</file>

<file path=xl/ctrlProps/ctrlProp46.xml><?xml version="1.0" encoding="utf-8"?>
<formControlPr xmlns="http://schemas.microsoft.com/office/spreadsheetml/2009/9/main" objectType="Drop" dropLines="6" dropStyle="combo" dx="17" fmlaLink="$X$5" fmlaRange="$T$4:$T$13" noThreeD="1" sel="5" val="3"/>
</file>

<file path=xl/ctrlProps/ctrlProp460.xml><?xml version="1.0" encoding="utf-8"?>
<formControlPr xmlns="http://schemas.microsoft.com/office/spreadsheetml/2009/9/main" objectType="Drop" dropLines="10" dropStyle="combo" dx="17" fmlaLink="$B$52" fmlaRange="Arbeitsgänge!$C$26:$C$80" noThreeD="1" sel="32" val="24"/>
</file>

<file path=xl/ctrlProps/ctrlProp461.xml><?xml version="1.0" encoding="utf-8"?>
<formControlPr xmlns="http://schemas.microsoft.com/office/spreadsheetml/2009/9/main" objectType="Drop" dropLines="10" dropStyle="combo" dx="17" fmlaLink="$B$53" fmlaRange="Arbeitsgänge!$C$26:$D$80" noThreeD="1" sel="49" val="43"/>
</file>

<file path=xl/ctrlProps/ctrlProp462.xml><?xml version="1.0" encoding="utf-8"?>
<formControlPr xmlns="http://schemas.microsoft.com/office/spreadsheetml/2009/9/main" objectType="Drop" dropLines="10" dropStyle="combo" dx="17" fmlaLink="$B$54" fmlaRange="Arbeitsgänge!$C$26:$C$80" noThreeD="1" sel="45" val="44"/>
</file>

<file path=xl/ctrlProps/ctrlProp463.xml><?xml version="1.0" encoding="utf-8"?>
<formControlPr xmlns="http://schemas.microsoft.com/office/spreadsheetml/2009/9/main" objectType="Drop" dropLines="10" dropStyle="combo" dx="17" fmlaLink="$B$55" fmlaRange="Arbeitsgänge!$C$26:$C$80" noThreeD="1" sel="2" val="0"/>
</file>

<file path=xl/ctrlProps/ctrlProp464.xml><?xml version="1.0" encoding="utf-8"?>
<formControlPr xmlns="http://schemas.microsoft.com/office/spreadsheetml/2009/9/main" objectType="Drop" dropLines="10" dropStyle="combo" dx="17" fmlaLink="$B19" fmlaRange="Prämien!$D$8:$M$37" noThreeD="1" sel="6" val="2"/>
</file>

<file path=xl/ctrlProps/ctrlProp465.xml><?xml version="1.0" encoding="utf-8"?>
<formControlPr xmlns="http://schemas.microsoft.com/office/spreadsheetml/2009/9/main" objectType="Drop" dropLines="10" dropStyle="combo" dx="17" fmlaLink="$B20" fmlaRange="Prämien!$D$8:$M$37" noThreeD="1" sel="6" val="2"/>
</file>

<file path=xl/ctrlProps/ctrlProp466.xml><?xml version="1.0" encoding="utf-8"?>
<formControlPr xmlns="http://schemas.microsoft.com/office/spreadsheetml/2009/9/main" objectType="Drop" dropLines="10" dropStyle="combo" dx="17" fmlaLink="$B21" fmlaRange="Prämien!$D$8:$M$37" noThreeD="1" sel="18" val="14"/>
</file>

<file path=xl/ctrlProps/ctrlProp467.xml><?xml version="1.0" encoding="utf-8"?>
<formControlPr xmlns="http://schemas.microsoft.com/office/spreadsheetml/2009/9/main" objectType="Drop" dropLines="10" dropStyle="combo" dx="17" fmlaLink="$B22" fmlaRange="Prämien!$D$8:$M$37" noThreeD="1" sel="30" val="20"/>
</file>

<file path=xl/ctrlProps/ctrlProp468.xml><?xml version="1.0" encoding="utf-8"?>
<formControlPr xmlns="http://schemas.microsoft.com/office/spreadsheetml/2009/9/main" objectType="Drop" dropLines="10" dropStyle="combo" dx="17" fmlaLink="$B23" fmlaRange="Prämien!$D$8:$M$37" noThreeD="1" sel="6" val="2"/>
</file>

<file path=xl/ctrlProps/ctrlProp469.xml><?xml version="1.0" encoding="utf-8"?>
<formControlPr xmlns="http://schemas.microsoft.com/office/spreadsheetml/2009/9/main" objectType="Drop" dropLines="10" dropStyle="combo" dx="17" fmlaLink="$B25" fmlaRange="Prämien!$Q$8:$Y$10" noThreeD="1" sel="3" val="0"/>
</file>

<file path=xl/ctrlProps/ctrlProp47.xml><?xml version="1.0" encoding="utf-8"?>
<formControlPr xmlns="http://schemas.microsoft.com/office/spreadsheetml/2009/9/main" objectType="Drop" dropLines="6" dropStyle="combo" dx="17" fmlaLink="$W$5" fmlaRange="$T$4:$T$15" noThreeD="1" sel="5" val="3"/>
</file>

<file path=xl/ctrlProps/ctrlProp470.xml><?xml version="1.0" encoding="utf-8"?>
<formControlPr xmlns="http://schemas.microsoft.com/office/spreadsheetml/2009/9/main" objectType="CheckBox" checked="Checked" fmlaLink="$R$19" lockText="1" noThreeD="1"/>
</file>

<file path=xl/ctrlProps/ctrlProp471.xml><?xml version="1.0" encoding="utf-8"?>
<formControlPr xmlns="http://schemas.microsoft.com/office/spreadsheetml/2009/9/main" objectType="CheckBox" checked="Checked" fmlaLink="$R$20" lockText="1" noThreeD="1"/>
</file>

<file path=xl/ctrlProps/ctrlProp472.xml><?xml version="1.0" encoding="utf-8"?>
<formControlPr xmlns="http://schemas.microsoft.com/office/spreadsheetml/2009/9/main" objectType="CheckBox" fmlaLink="$R$21" lockText="1" noThreeD="1"/>
</file>

<file path=xl/ctrlProps/ctrlProp473.xml><?xml version="1.0" encoding="utf-8"?>
<formControlPr xmlns="http://schemas.microsoft.com/office/spreadsheetml/2009/9/main" objectType="CheckBox" fmlaLink="$R$22" lockText="1" noThreeD="1"/>
</file>

<file path=xl/ctrlProps/ctrlProp474.xml><?xml version="1.0" encoding="utf-8"?>
<formControlPr xmlns="http://schemas.microsoft.com/office/spreadsheetml/2009/9/main" objectType="CheckBox" fmlaLink="$R$23" lockText="1" noThreeD="1"/>
</file>

<file path=xl/ctrlProps/ctrlProp475.xml><?xml version="1.0" encoding="utf-8"?>
<formControlPr xmlns="http://schemas.microsoft.com/office/spreadsheetml/2009/9/main" objectType="CheckBox" checked="Checked" fmlaLink="$U$19" lockText="1" noThreeD="1"/>
</file>

<file path=xl/ctrlProps/ctrlProp476.xml><?xml version="1.0" encoding="utf-8"?>
<formControlPr xmlns="http://schemas.microsoft.com/office/spreadsheetml/2009/9/main" objectType="CheckBox" checked="Checked" fmlaLink="$U$20" lockText="1" noThreeD="1"/>
</file>

<file path=xl/ctrlProps/ctrlProp477.xml><?xml version="1.0" encoding="utf-8"?>
<formControlPr xmlns="http://schemas.microsoft.com/office/spreadsheetml/2009/9/main" objectType="CheckBox" fmlaLink="$U$21" lockText="1" noThreeD="1"/>
</file>

<file path=xl/ctrlProps/ctrlProp478.xml><?xml version="1.0" encoding="utf-8"?>
<formControlPr xmlns="http://schemas.microsoft.com/office/spreadsheetml/2009/9/main" objectType="CheckBox" fmlaLink="$U$22" lockText="1" noThreeD="1"/>
</file>

<file path=xl/ctrlProps/ctrlProp479.xml><?xml version="1.0" encoding="utf-8"?>
<formControlPr xmlns="http://schemas.microsoft.com/office/spreadsheetml/2009/9/main" objectType="CheckBox" fmlaLink="$U$23" lockText="1" noThreeD="1"/>
</file>

<file path=xl/ctrlProps/ctrlProp48.xml><?xml version="1.0" encoding="utf-8"?>
<formControlPr xmlns="http://schemas.microsoft.com/office/spreadsheetml/2009/9/main" objectType="Drop" dropLines="6" dropStyle="combo" dx="17" fmlaLink="$Y$5" fmlaRange="$T$4:$T$13" noThreeD="1" sel="10" val="4"/>
</file>

<file path=xl/ctrlProps/ctrlProp480.xml><?xml version="1.0" encoding="utf-8"?>
<formControlPr xmlns="http://schemas.microsoft.com/office/spreadsheetml/2009/9/main" objectType="CheckBox" checked="Checked" fmlaLink="$X$19" lockText="1" noThreeD="1"/>
</file>

<file path=xl/ctrlProps/ctrlProp481.xml><?xml version="1.0" encoding="utf-8"?>
<formControlPr xmlns="http://schemas.microsoft.com/office/spreadsheetml/2009/9/main" objectType="CheckBox" checked="Checked" fmlaLink="$X$20" lockText="1" noThreeD="1"/>
</file>

<file path=xl/ctrlProps/ctrlProp482.xml><?xml version="1.0" encoding="utf-8"?>
<formControlPr xmlns="http://schemas.microsoft.com/office/spreadsheetml/2009/9/main" objectType="CheckBox" fmlaLink="$X$21" lockText="1" noThreeD="1"/>
</file>

<file path=xl/ctrlProps/ctrlProp483.xml><?xml version="1.0" encoding="utf-8"?>
<formControlPr xmlns="http://schemas.microsoft.com/office/spreadsheetml/2009/9/main" objectType="CheckBox" fmlaLink="$X$22" lockText="1" noThreeD="1"/>
</file>

<file path=xl/ctrlProps/ctrlProp484.xml><?xml version="1.0" encoding="utf-8"?>
<formControlPr xmlns="http://schemas.microsoft.com/office/spreadsheetml/2009/9/main" objectType="CheckBox" fmlaLink="$X$23" lockText="1" noThreeD="1"/>
</file>

<file path=xl/ctrlProps/ctrlProp485.xml><?xml version="1.0" encoding="utf-8"?>
<formControlPr xmlns="http://schemas.microsoft.com/office/spreadsheetml/2009/9/main" objectType="Drop" dropLines="10" dropStyle="combo" dx="17" fmlaLink="$B$45" fmlaRange="Arbeitsgänge!$C$26:$C$78" noThreeD="1" sel="0" val="15"/>
</file>

<file path=xl/ctrlProps/ctrlProp486.xml><?xml version="1.0" encoding="utf-8"?>
<formControlPr xmlns="http://schemas.microsoft.com/office/spreadsheetml/2009/9/main" objectType="Drop" dropLines="10" dropStyle="combo" dx="17" fmlaLink="$B$46" fmlaRange="Arbeitsgänge!$C$26:$C$80" noThreeD="1" sel="0" val="18"/>
</file>

<file path=xl/ctrlProps/ctrlProp487.xml><?xml version="1.0" encoding="utf-8"?>
<formControlPr xmlns="http://schemas.microsoft.com/office/spreadsheetml/2009/9/main" objectType="Drop" dropLines="10" dropStyle="combo" dx="17" fmlaLink="$B$47" fmlaRange="Arbeitsgänge!$C$26:$C$80" noThreeD="1" sel="0" val="2"/>
</file>

<file path=xl/ctrlProps/ctrlProp488.xml><?xml version="1.0" encoding="utf-8"?>
<formControlPr xmlns="http://schemas.microsoft.com/office/spreadsheetml/2009/9/main" objectType="Drop" dropLines="10" dropStyle="combo" dx="17" fmlaLink="$B$48" fmlaRange="Arbeitsgänge!$C$26:$C$80" noThreeD="1" sel="0" val="0"/>
</file>

<file path=xl/ctrlProps/ctrlProp489.xml><?xml version="1.0" encoding="utf-8"?>
<formControlPr xmlns="http://schemas.microsoft.com/office/spreadsheetml/2009/9/main" objectType="Drop" dropLines="10" dropStyle="combo" dx="17" fmlaLink="$B$49" fmlaRange="Arbeitsgänge!$C$26:$C$80" noThreeD="1" sel="0" val="21"/>
</file>

<file path=xl/ctrlProps/ctrlProp49.xml><?xml version="1.0" encoding="utf-8"?>
<formControlPr xmlns="http://schemas.microsoft.com/office/spreadsheetml/2009/9/main" objectType="Drop" dropLines="6" dropStyle="combo" dx="17" fmlaLink="$Z$5" fmlaRange="$T$4:$T$13" noThreeD="1" sel="10" val="4"/>
</file>

<file path=xl/ctrlProps/ctrlProp490.xml><?xml version="1.0" encoding="utf-8"?>
<formControlPr xmlns="http://schemas.microsoft.com/office/spreadsheetml/2009/9/main" objectType="Drop" dropLines="10" dropStyle="combo" dx="17" fmlaLink="$B$50" fmlaRange="Arbeitsgänge!$C$26:$C$80" noThreeD="1" sel="0" val="22"/>
</file>

<file path=xl/ctrlProps/ctrlProp491.xml><?xml version="1.0" encoding="utf-8"?>
<formControlPr xmlns="http://schemas.microsoft.com/office/spreadsheetml/2009/9/main" objectType="Drop" dropLines="10" dropStyle="combo" dx="17" fmlaLink="$B$51" fmlaRange="Arbeitsgänge!$C$26:$C$80" noThreeD="1" sel="0" val="13"/>
</file>

<file path=xl/ctrlProps/ctrlProp492.xml><?xml version="1.0" encoding="utf-8"?>
<formControlPr xmlns="http://schemas.microsoft.com/office/spreadsheetml/2009/9/main" objectType="Drop" dropLines="10" dropStyle="combo" dx="17" fmlaLink="$B$52" fmlaRange="Arbeitsgänge!$C$26:$C$80" noThreeD="1" sel="0" val="14"/>
</file>

<file path=xl/ctrlProps/ctrlProp493.xml><?xml version="1.0" encoding="utf-8"?>
<formControlPr xmlns="http://schemas.microsoft.com/office/spreadsheetml/2009/9/main" objectType="Drop" dropLines="10" dropStyle="combo" dx="17" fmlaLink="$B$53" fmlaRange="Arbeitsgänge!$C$26:$D$80" noThreeD="1" sel="0" val="41"/>
</file>

<file path=xl/ctrlProps/ctrlProp494.xml><?xml version="1.0" encoding="utf-8"?>
<formControlPr xmlns="http://schemas.microsoft.com/office/spreadsheetml/2009/9/main" objectType="Drop" dropLines="10" dropStyle="combo" dx="17" fmlaLink="$B$54" fmlaRange="Arbeitsgänge!$C$26:$C$80" noThreeD="1" sel="0" val="44"/>
</file>

<file path=xl/ctrlProps/ctrlProp495.xml><?xml version="1.0" encoding="utf-8"?>
<formControlPr xmlns="http://schemas.microsoft.com/office/spreadsheetml/2009/9/main" objectType="Drop" dropLines="10" dropStyle="combo" dx="17" fmlaLink="$B$55" fmlaRange="Arbeitsgänge!$C$26:$C$80" noThreeD="1" sel="0" val="0"/>
</file>

<file path=xl/ctrlProps/ctrlProp496.xml><?xml version="1.0" encoding="utf-8"?>
<formControlPr xmlns="http://schemas.microsoft.com/office/spreadsheetml/2009/9/main" objectType="Drop" dropLines="10" dropStyle="combo" dx="17" fmlaLink="$B19" fmlaRange="Prämien!$D$8:$M$37" noThreeD="1" val="0"/>
</file>

<file path=xl/ctrlProps/ctrlProp497.xml><?xml version="1.0" encoding="utf-8"?>
<formControlPr xmlns="http://schemas.microsoft.com/office/spreadsheetml/2009/9/main" objectType="Drop" dropLines="10" dropStyle="combo" dx="17" fmlaLink="$B20" fmlaRange="Prämien!$D$8:$M$37" noThreeD="1" sel="3" val="0"/>
</file>

<file path=xl/ctrlProps/ctrlProp498.xml><?xml version="1.0" encoding="utf-8"?>
<formControlPr xmlns="http://schemas.microsoft.com/office/spreadsheetml/2009/9/main" objectType="Drop" dropLines="10" dropStyle="combo" dx="17" fmlaLink="$B21" fmlaRange="Prämien!$D$8:$M$37" noThreeD="1" sel="18" val="14"/>
</file>

<file path=xl/ctrlProps/ctrlProp499.xml><?xml version="1.0" encoding="utf-8"?>
<formControlPr xmlns="http://schemas.microsoft.com/office/spreadsheetml/2009/9/main" objectType="Drop" dropLines="10" dropStyle="combo" dx="17" fmlaLink="$B22" fmlaRange="Prämien!$D$8:$M$37" noThreeD="1" sel="30" val="20"/>
</file>

<file path=xl/ctrlProps/ctrlProp5.xml><?xml version="1.0" encoding="utf-8"?>
<formControlPr xmlns="http://schemas.microsoft.com/office/spreadsheetml/2009/9/main" objectType="Drop" dropLines="6" dropStyle="combo" dx="17" fmlaLink="$W$5" fmlaRange="$T$4:$T$15" noThreeD="1" sel="4" val="3"/>
</file>

<file path=xl/ctrlProps/ctrlProp50.xml><?xml version="1.0" encoding="utf-8"?>
<formControlPr xmlns="http://schemas.microsoft.com/office/spreadsheetml/2009/9/main" objectType="Drop" dropLines="10" dropStyle="combo" dx="17" fmlaLink="$B$46" fmlaRange="Arbeitsgänge!$C$26:$C$78" noThreeD="1" sel="19" val="17"/>
</file>

<file path=xl/ctrlProps/ctrlProp500.xml><?xml version="1.0" encoding="utf-8"?>
<formControlPr xmlns="http://schemas.microsoft.com/office/spreadsheetml/2009/9/main" objectType="Drop" dropLines="10" dropStyle="combo" dx="17" fmlaLink="$B23" fmlaRange="Prämien!$D$8:$M$37" noThreeD="1" sel="3" val="0"/>
</file>

<file path=xl/ctrlProps/ctrlProp501.xml><?xml version="1.0" encoding="utf-8"?>
<formControlPr xmlns="http://schemas.microsoft.com/office/spreadsheetml/2009/9/main" objectType="Drop" dropLines="10" dropStyle="combo" dx="17" fmlaLink="$B25" fmlaRange="Prämien!$Q$8:$Y$9" noThreeD="1" val="0"/>
</file>

<file path=xl/ctrlProps/ctrlProp502.xml><?xml version="1.0" encoding="utf-8"?>
<formControlPr xmlns="http://schemas.microsoft.com/office/spreadsheetml/2009/9/main" objectType="CheckBox" checked="Checked" fmlaLink="$R$19" lockText="1" noThreeD="1"/>
</file>

<file path=xl/ctrlProps/ctrlProp503.xml><?xml version="1.0" encoding="utf-8"?>
<formControlPr xmlns="http://schemas.microsoft.com/office/spreadsheetml/2009/9/main" objectType="CheckBox" fmlaLink="$R$20" lockText="1" noThreeD="1"/>
</file>

<file path=xl/ctrlProps/ctrlProp504.xml><?xml version="1.0" encoding="utf-8"?>
<formControlPr xmlns="http://schemas.microsoft.com/office/spreadsheetml/2009/9/main" objectType="CheckBox" fmlaLink="$R$21" lockText="1" noThreeD="1"/>
</file>

<file path=xl/ctrlProps/ctrlProp505.xml><?xml version="1.0" encoding="utf-8"?>
<formControlPr xmlns="http://schemas.microsoft.com/office/spreadsheetml/2009/9/main" objectType="CheckBox" fmlaLink="$R$22" lockText="1" noThreeD="1"/>
</file>

<file path=xl/ctrlProps/ctrlProp506.xml><?xml version="1.0" encoding="utf-8"?>
<formControlPr xmlns="http://schemas.microsoft.com/office/spreadsheetml/2009/9/main" objectType="CheckBox" fmlaLink="$R$23" lockText="1" noThreeD="1"/>
</file>

<file path=xl/ctrlProps/ctrlProp507.xml><?xml version="1.0" encoding="utf-8"?>
<formControlPr xmlns="http://schemas.microsoft.com/office/spreadsheetml/2009/9/main" objectType="CheckBox" checked="Checked" fmlaLink="$U$19" lockText="1" noThreeD="1"/>
</file>

<file path=xl/ctrlProps/ctrlProp508.xml><?xml version="1.0" encoding="utf-8"?>
<formControlPr xmlns="http://schemas.microsoft.com/office/spreadsheetml/2009/9/main" objectType="CheckBox" fmlaLink="$U$20" lockText="1" noThreeD="1"/>
</file>

<file path=xl/ctrlProps/ctrlProp509.xml><?xml version="1.0" encoding="utf-8"?>
<formControlPr xmlns="http://schemas.microsoft.com/office/spreadsheetml/2009/9/main" objectType="CheckBox" fmlaLink="$U$21" lockText="1" noThreeD="1"/>
</file>

<file path=xl/ctrlProps/ctrlProp51.xml><?xml version="1.0" encoding="utf-8"?>
<formControlPr xmlns="http://schemas.microsoft.com/office/spreadsheetml/2009/9/main" objectType="Drop" dropLines="10" dropStyle="combo" dx="17" fmlaLink="$B$47" fmlaRange="Arbeitsgänge!$C$26:$C$78" noThreeD="1" sel="20" val="18"/>
</file>

<file path=xl/ctrlProps/ctrlProp510.xml><?xml version="1.0" encoding="utf-8"?>
<formControlPr xmlns="http://schemas.microsoft.com/office/spreadsheetml/2009/9/main" objectType="CheckBox" fmlaLink="$U$22" lockText="1" noThreeD="1"/>
</file>

<file path=xl/ctrlProps/ctrlProp511.xml><?xml version="1.0" encoding="utf-8"?>
<formControlPr xmlns="http://schemas.microsoft.com/office/spreadsheetml/2009/9/main" objectType="CheckBox" fmlaLink="$U$23" lockText="1" noThreeD="1"/>
</file>

<file path=xl/ctrlProps/ctrlProp512.xml><?xml version="1.0" encoding="utf-8"?>
<formControlPr xmlns="http://schemas.microsoft.com/office/spreadsheetml/2009/9/main" objectType="CheckBox" checked="Checked" fmlaLink="$X$19" lockText="1" noThreeD="1"/>
</file>

<file path=xl/ctrlProps/ctrlProp513.xml><?xml version="1.0" encoding="utf-8"?>
<formControlPr xmlns="http://schemas.microsoft.com/office/spreadsheetml/2009/9/main" objectType="CheckBox" fmlaLink="$X$20" lockText="1" noThreeD="1"/>
</file>

<file path=xl/ctrlProps/ctrlProp514.xml><?xml version="1.0" encoding="utf-8"?>
<formControlPr xmlns="http://schemas.microsoft.com/office/spreadsheetml/2009/9/main" objectType="CheckBox" fmlaLink="$X$21" lockText="1" noThreeD="1"/>
</file>

<file path=xl/ctrlProps/ctrlProp515.xml><?xml version="1.0" encoding="utf-8"?>
<formControlPr xmlns="http://schemas.microsoft.com/office/spreadsheetml/2009/9/main" objectType="CheckBox" fmlaLink="$X$22" lockText="1" noThreeD="1"/>
</file>

<file path=xl/ctrlProps/ctrlProp516.xml><?xml version="1.0" encoding="utf-8"?>
<formControlPr xmlns="http://schemas.microsoft.com/office/spreadsheetml/2009/9/main" objectType="CheckBox" fmlaLink="$X$23" lockText="1" noThreeD="1"/>
</file>

<file path=xl/ctrlProps/ctrlProp517.xml><?xml version="1.0" encoding="utf-8"?>
<formControlPr xmlns="http://schemas.microsoft.com/office/spreadsheetml/2009/9/main" objectType="Drop" dropLines="10" dropStyle="combo" dx="17" fmlaLink="$B$45" fmlaRange="Arbeitsgänge!$C$27:$C$80" noThreeD="1" sel="2" val="0"/>
</file>

<file path=xl/ctrlProps/ctrlProp518.xml><?xml version="1.0" encoding="utf-8"?>
<formControlPr xmlns="http://schemas.microsoft.com/office/spreadsheetml/2009/9/main" objectType="Drop" dropLines="10" dropStyle="combo" dx="17" fmlaLink="$B$46" fmlaRange="Arbeitsgänge!$C$27:$C$80" noThreeD="1" val="0"/>
</file>

<file path=xl/ctrlProps/ctrlProp519.xml><?xml version="1.0" encoding="utf-8"?>
<formControlPr xmlns="http://schemas.microsoft.com/office/spreadsheetml/2009/9/main" objectType="Drop" dropLines="10" dropStyle="combo" dx="17" fmlaLink="$B$47" fmlaRange="Arbeitsgänge!$C$27:$C$80" noThreeD="1" sel="7" val="0"/>
</file>

<file path=xl/ctrlProps/ctrlProp52.xml><?xml version="1.0" encoding="utf-8"?>
<formControlPr xmlns="http://schemas.microsoft.com/office/spreadsheetml/2009/9/main" objectType="Drop" dropLines="10" dropStyle="combo" dx="17" fmlaLink="$B$48" fmlaRange="Arbeitsgänge!$C$26:$C$78" noThreeD="1" sel="25" val="21"/>
</file>

<file path=xl/ctrlProps/ctrlProp520.xml><?xml version="1.0" encoding="utf-8"?>
<formControlPr xmlns="http://schemas.microsoft.com/office/spreadsheetml/2009/9/main" objectType="Drop" dropLines="10" dropStyle="combo" dx="17" fmlaLink="$B$48" fmlaRange="Arbeitsgänge!$C$27:$C$80" noThreeD="1" sel="15" val="12"/>
</file>

<file path=xl/ctrlProps/ctrlProp521.xml><?xml version="1.0" encoding="utf-8"?>
<formControlPr xmlns="http://schemas.microsoft.com/office/spreadsheetml/2009/9/main" objectType="Drop" dropLines="10" dropStyle="combo" dx="17" fmlaLink="$B$49" fmlaRange="Arbeitsgänge!$C$27:$C$80" noThreeD="1" sel="0" val="14"/>
</file>

<file path=xl/ctrlProps/ctrlProp522.xml><?xml version="1.0" encoding="utf-8"?>
<formControlPr xmlns="http://schemas.microsoft.com/office/spreadsheetml/2009/9/main" objectType="Drop" dropLines="10" dropStyle="combo" dx="17" fmlaLink="$B$50" fmlaRange="Arbeitsgänge!$C$27:$C$80" noThreeD="1" sel="28" val="27"/>
</file>

<file path=xl/ctrlProps/ctrlProp523.xml><?xml version="1.0" encoding="utf-8"?>
<formControlPr xmlns="http://schemas.microsoft.com/office/spreadsheetml/2009/9/main" objectType="Drop" dropLines="10" dropStyle="combo" dx="17" fmlaLink="$B$51" fmlaRange="Arbeitsgänge!$C$27:$C$80" noThreeD="1" sel="0" val="20"/>
</file>

<file path=xl/ctrlProps/ctrlProp524.xml><?xml version="1.0" encoding="utf-8"?>
<formControlPr xmlns="http://schemas.microsoft.com/office/spreadsheetml/2009/9/main" objectType="Drop" dropLines="10" dropStyle="combo" dx="17" fmlaLink="$B$52" fmlaRange="Arbeitsgänge!$C$27:$C$80" noThreeD="1" sel="0" val="0"/>
</file>

<file path=xl/ctrlProps/ctrlProp525.xml><?xml version="1.0" encoding="utf-8"?>
<formControlPr xmlns="http://schemas.microsoft.com/office/spreadsheetml/2009/9/main" objectType="Drop" dropLines="10" dropStyle="combo" dx="17" fmlaLink="$B$53" fmlaRange="Arbeitsgänge!$C$27:$C$80" noThreeD="1" sel="0" val="0"/>
</file>

<file path=xl/ctrlProps/ctrlProp526.xml><?xml version="1.0" encoding="utf-8"?>
<formControlPr xmlns="http://schemas.microsoft.com/office/spreadsheetml/2009/9/main" objectType="Drop" dropLines="10" dropStyle="combo" dx="17" fmlaLink="$B$54" fmlaRange="Arbeitsgänge!$C$27:$C$80" noThreeD="1" sel="0" val="0"/>
</file>

<file path=xl/ctrlProps/ctrlProp527.xml><?xml version="1.0" encoding="utf-8"?>
<formControlPr xmlns="http://schemas.microsoft.com/office/spreadsheetml/2009/9/main" objectType="Drop" dropLines="10" dropStyle="combo" dx="17" fmlaLink="$B$55" fmlaRange="Arbeitsgänge!$C$27:$C$80" noThreeD="1" sel="0" val="0"/>
</file>

<file path=xl/ctrlProps/ctrlProp528.xml><?xml version="1.0" encoding="utf-8"?>
<formControlPr xmlns="http://schemas.microsoft.com/office/spreadsheetml/2009/9/main" objectType="CheckBox" checked="Checked" fmlaLink="$R$19" lockText="1" noThreeD="1"/>
</file>

<file path=xl/ctrlProps/ctrlProp529.xml><?xml version="1.0" encoding="utf-8"?>
<formControlPr xmlns="http://schemas.microsoft.com/office/spreadsheetml/2009/9/main" objectType="CheckBox" fmlaLink="$R$20" lockText="1" noThreeD="1"/>
</file>

<file path=xl/ctrlProps/ctrlProp53.xml><?xml version="1.0" encoding="utf-8"?>
<formControlPr xmlns="http://schemas.microsoft.com/office/spreadsheetml/2009/9/main" objectType="Drop" dropLines="10" dropStyle="combo" dx="17" fmlaLink="$B$49" fmlaRange="Arbeitsgänge!$C$26:$C$78" noThreeD="1" sel="34" val="28"/>
</file>

<file path=xl/ctrlProps/ctrlProp530.xml><?xml version="1.0" encoding="utf-8"?>
<formControlPr xmlns="http://schemas.microsoft.com/office/spreadsheetml/2009/9/main" objectType="CheckBox" fmlaLink="$R$21" lockText="1" noThreeD="1"/>
</file>

<file path=xl/ctrlProps/ctrlProp531.xml><?xml version="1.0" encoding="utf-8"?>
<formControlPr xmlns="http://schemas.microsoft.com/office/spreadsheetml/2009/9/main" objectType="CheckBox" fmlaLink="$R$22" lockText="1" noThreeD="1"/>
</file>

<file path=xl/ctrlProps/ctrlProp532.xml><?xml version="1.0" encoding="utf-8"?>
<formControlPr xmlns="http://schemas.microsoft.com/office/spreadsheetml/2009/9/main" objectType="CheckBox" fmlaLink="$R$23" lockText="1" noThreeD="1"/>
</file>

<file path=xl/ctrlProps/ctrlProp533.xml><?xml version="1.0" encoding="utf-8"?>
<formControlPr xmlns="http://schemas.microsoft.com/office/spreadsheetml/2009/9/main" objectType="CheckBox" checked="Checked" fmlaLink="$U$19" lockText="1" noThreeD="1"/>
</file>

<file path=xl/ctrlProps/ctrlProp534.xml><?xml version="1.0" encoding="utf-8"?>
<formControlPr xmlns="http://schemas.microsoft.com/office/spreadsheetml/2009/9/main" objectType="CheckBox" fmlaLink="$U$20" lockText="1" noThreeD="1"/>
</file>

<file path=xl/ctrlProps/ctrlProp535.xml><?xml version="1.0" encoding="utf-8"?>
<formControlPr xmlns="http://schemas.microsoft.com/office/spreadsheetml/2009/9/main" objectType="CheckBox" fmlaLink="$U$21" lockText="1" noThreeD="1"/>
</file>

<file path=xl/ctrlProps/ctrlProp536.xml><?xml version="1.0" encoding="utf-8"?>
<formControlPr xmlns="http://schemas.microsoft.com/office/spreadsheetml/2009/9/main" objectType="CheckBox" fmlaLink="$U$22" lockText="1" noThreeD="1"/>
</file>

<file path=xl/ctrlProps/ctrlProp537.xml><?xml version="1.0" encoding="utf-8"?>
<formControlPr xmlns="http://schemas.microsoft.com/office/spreadsheetml/2009/9/main" objectType="CheckBox" fmlaLink="$U$23" lockText="1" noThreeD="1"/>
</file>

<file path=xl/ctrlProps/ctrlProp538.xml><?xml version="1.0" encoding="utf-8"?>
<formControlPr xmlns="http://schemas.microsoft.com/office/spreadsheetml/2009/9/main" objectType="CheckBox" checked="Checked" fmlaLink="$X$19" lockText="1" noThreeD="1"/>
</file>

<file path=xl/ctrlProps/ctrlProp539.xml><?xml version="1.0" encoding="utf-8"?>
<formControlPr xmlns="http://schemas.microsoft.com/office/spreadsheetml/2009/9/main" objectType="CheckBox" fmlaLink="$X$20" lockText="1" noThreeD="1"/>
</file>

<file path=xl/ctrlProps/ctrlProp54.xml><?xml version="1.0" encoding="utf-8"?>
<formControlPr xmlns="http://schemas.microsoft.com/office/spreadsheetml/2009/9/main" objectType="Drop" dropLines="10" dropStyle="combo" dx="17" fmlaLink="$B$50" fmlaRange="Arbeitsgänge!$C$26:$C$78" noThreeD="1" sel="28" val="27"/>
</file>

<file path=xl/ctrlProps/ctrlProp540.xml><?xml version="1.0" encoding="utf-8"?>
<formControlPr xmlns="http://schemas.microsoft.com/office/spreadsheetml/2009/9/main" objectType="CheckBox" fmlaLink="$X$21" lockText="1" noThreeD="1"/>
</file>

<file path=xl/ctrlProps/ctrlProp541.xml><?xml version="1.0" encoding="utf-8"?>
<formControlPr xmlns="http://schemas.microsoft.com/office/spreadsheetml/2009/9/main" objectType="CheckBox" fmlaLink="$X$22" lockText="1" noThreeD="1"/>
</file>

<file path=xl/ctrlProps/ctrlProp542.xml><?xml version="1.0" encoding="utf-8"?>
<formControlPr xmlns="http://schemas.microsoft.com/office/spreadsheetml/2009/9/main" objectType="CheckBox" fmlaLink="$X$23" lockText="1" noThreeD="1"/>
</file>

<file path=xl/ctrlProps/ctrlProp543.xml><?xml version="1.0" encoding="utf-8"?>
<formControlPr xmlns="http://schemas.microsoft.com/office/spreadsheetml/2009/9/main" objectType="Drop" dropLines="10" dropStyle="combo" dx="17" fmlaLink="$B$45" fmlaRange="Arbeitsgänge!$C$27:$C$80" noThreeD="1" sel="2" val="0"/>
</file>

<file path=xl/ctrlProps/ctrlProp544.xml><?xml version="1.0" encoding="utf-8"?>
<formControlPr xmlns="http://schemas.microsoft.com/office/spreadsheetml/2009/9/main" objectType="Drop" dropLines="10" dropStyle="combo" dx="17" fmlaLink="$B$46" fmlaRange="Arbeitsgänge!$C$27:$C$80" noThreeD="1" val="0"/>
</file>

<file path=xl/ctrlProps/ctrlProp545.xml><?xml version="1.0" encoding="utf-8"?>
<formControlPr xmlns="http://schemas.microsoft.com/office/spreadsheetml/2009/9/main" objectType="Drop" dropLines="10" dropStyle="combo" dx="17" fmlaLink="$B$47" fmlaRange="Arbeitsgänge!$C$27:$C$80" noThreeD="1" sel="7" val="0"/>
</file>

<file path=xl/ctrlProps/ctrlProp546.xml><?xml version="1.0" encoding="utf-8"?>
<formControlPr xmlns="http://schemas.microsoft.com/office/spreadsheetml/2009/9/main" objectType="Drop" dropLines="10" dropStyle="combo" dx="17" fmlaLink="$B$48" fmlaRange="Arbeitsgänge!$C$27:$C$80" noThreeD="1" sel="15" val="12"/>
</file>

<file path=xl/ctrlProps/ctrlProp547.xml><?xml version="1.0" encoding="utf-8"?>
<formControlPr xmlns="http://schemas.microsoft.com/office/spreadsheetml/2009/9/main" objectType="Drop" dropLines="10" dropStyle="combo" dx="17" fmlaLink="$B$49" fmlaRange="Arbeitsgänge!$C$27:$C$80" noThreeD="1" sel="16" val="14"/>
</file>

<file path=xl/ctrlProps/ctrlProp548.xml><?xml version="1.0" encoding="utf-8"?>
<formControlPr xmlns="http://schemas.microsoft.com/office/spreadsheetml/2009/9/main" objectType="Drop" dropLines="10" dropStyle="combo" dx="17" fmlaLink="$B$50" fmlaRange="Arbeitsgänge!$C$27:$C$80" noThreeD="1" sel="22" val="15"/>
</file>

<file path=xl/ctrlProps/ctrlProp549.xml><?xml version="1.0" encoding="utf-8"?>
<formControlPr xmlns="http://schemas.microsoft.com/office/spreadsheetml/2009/9/main" objectType="Drop" dropLines="10" dropStyle="combo" dx="17" fmlaLink="$B$51" fmlaRange="Arbeitsgänge!$C$27:$C$80" noThreeD="1" sel="23" val="20"/>
</file>

<file path=xl/ctrlProps/ctrlProp55.xml><?xml version="1.0" encoding="utf-8"?>
<formControlPr xmlns="http://schemas.microsoft.com/office/spreadsheetml/2009/9/main" objectType="Drop" dropLines="10" dropStyle="combo" dx="17" fmlaLink="$B$51" fmlaRange="Arbeitsgänge!$C$26:$C$78" noThreeD="1" sel="30" val="21"/>
</file>

<file path=xl/ctrlProps/ctrlProp550.xml><?xml version="1.0" encoding="utf-8"?>
<formControlPr xmlns="http://schemas.microsoft.com/office/spreadsheetml/2009/9/main" objectType="Drop" dropLines="10" dropStyle="combo" dx="17" fmlaLink="$B$52" fmlaRange="Arbeitsgänge!$C$27:$C$80" noThreeD="1" sel="0" val="0"/>
</file>

<file path=xl/ctrlProps/ctrlProp551.xml><?xml version="1.0" encoding="utf-8"?>
<formControlPr xmlns="http://schemas.microsoft.com/office/spreadsheetml/2009/9/main" objectType="Drop" dropLines="10" dropStyle="combo" dx="17" fmlaLink="$B$53" fmlaRange="Arbeitsgänge!$C$27:$C$80" noThreeD="1" sel="0" val="0"/>
</file>

<file path=xl/ctrlProps/ctrlProp552.xml><?xml version="1.0" encoding="utf-8"?>
<formControlPr xmlns="http://schemas.microsoft.com/office/spreadsheetml/2009/9/main" objectType="Drop" dropLines="10" dropStyle="combo" dx="17" fmlaLink="$B$54" fmlaRange="Arbeitsgänge!$C$27:$C$80" noThreeD="1" sel="0" val="0"/>
</file>

<file path=xl/ctrlProps/ctrlProp553.xml><?xml version="1.0" encoding="utf-8"?>
<formControlPr xmlns="http://schemas.microsoft.com/office/spreadsheetml/2009/9/main" objectType="Drop" dropLines="10" dropStyle="combo" dx="17" fmlaLink="$B$55" fmlaRange="Arbeitsgänge!$C$27:$C$80" noThreeD="1" sel="0" val="0"/>
</file>

<file path=xl/ctrlProps/ctrlProp554.xml><?xml version="1.0" encoding="utf-8"?>
<formControlPr xmlns="http://schemas.microsoft.com/office/spreadsheetml/2009/9/main" objectType="CheckBox" checked="Checked" fmlaLink="$R$19" lockText="1" noThreeD="1"/>
</file>

<file path=xl/ctrlProps/ctrlProp555.xml><?xml version="1.0" encoding="utf-8"?>
<formControlPr xmlns="http://schemas.microsoft.com/office/spreadsheetml/2009/9/main" objectType="CheckBox" checked="Checked" fmlaLink="$R$20" lockText="1" noThreeD="1"/>
</file>

<file path=xl/ctrlProps/ctrlProp556.xml><?xml version="1.0" encoding="utf-8"?>
<formControlPr xmlns="http://schemas.microsoft.com/office/spreadsheetml/2009/9/main" objectType="CheckBox" fmlaLink="$R$21" lockText="1" noThreeD="1"/>
</file>

<file path=xl/ctrlProps/ctrlProp557.xml><?xml version="1.0" encoding="utf-8"?>
<formControlPr xmlns="http://schemas.microsoft.com/office/spreadsheetml/2009/9/main" objectType="CheckBox" fmlaLink="$R$22" lockText="1" noThreeD="1"/>
</file>

<file path=xl/ctrlProps/ctrlProp558.xml><?xml version="1.0" encoding="utf-8"?>
<formControlPr xmlns="http://schemas.microsoft.com/office/spreadsheetml/2009/9/main" objectType="CheckBox" fmlaLink="$R$23" lockText="1" noThreeD="1"/>
</file>

<file path=xl/ctrlProps/ctrlProp559.xml><?xml version="1.0" encoding="utf-8"?>
<formControlPr xmlns="http://schemas.microsoft.com/office/spreadsheetml/2009/9/main" objectType="CheckBox" checked="Checked" fmlaLink="$U$19" lockText="1" noThreeD="1"/>
</file>

<file path=xl/ctrlProps/ctrlProp56.xml><?xml version="1.0" encoding="utf-8"?>
<formControlPr xmlns="http://schemas.microsoft.com/office/spreadsheetml/2009/9/main" objectType="Drop" dropLines="10" dropStyle="combo" dx="17" fmlaLink="$B$52" fmlaRange="Arbeitsgänge!$C$26:$C$78" noThreeD="1" sel="32" val="23"/>
</file>

<file path=xl/ctrlProps/ctrlProp560.xml><?xml version="1.0" encoding="utf-8"?>
<formControlPr xmlns="http://schemas.microsoft.com/office/spreadsheetml/2009/9/main" objectType="CheckBox" checked="Checked" fmlaLink="$U$20" lockText="1" noThreeD="1"/>
</file>

<file path=xl/ctrlProps/ctrlProp561.xml><?xml version="1.0" encoding="utf-8"?>
<formControlPr xmlns="http://schemas.microsoft.com/office/spreadsheetml/2009/9/main" objectType="CheckBox" fmlaLink="$U$21" lockText="1" noThreeD="1"/>
</file>

<file path=xl/ctrlProps/ctrlProp562.xml><?xml version="1.0" encoding="utf-8"?>
<formControlPr xmlns="http://schemas.microsoft.com/office/spreadsheetml/2009/9/main" objectType="CheckBox" fmlaLink="$U$22" lockText="1" noThreeD="1"/>
</file>

<file path=xl/ctrlProps/ctrlProp563.xml><?xml version="1.0" encoding="utf-8"?>
<formControlPr xmlns="http://schemas.microsoft.com/office/spreadsheetml/2009/9/main" objectType="CheckBox" fmlaLink="$U$23" lockText="1" noThreeD="1"/>
</file>

<file path=xl/ctrlProps/ctrlProp564.xml><?xml version="1.0" encoding="utf-8"?>
<formControlPr xmlns="http://schemas.microsoft.com/office/spreadsheetml/2009/9/main" objectType="CheckBox" checked="Checked" fmlaLink="$X$19" lockText="1" noThreeD="1"/>
</file>

<file path=xl/ctrlProps/ctrlProp565.xml><?xml version="1.0" encoding="utf-8"?>
<formControlPr xmlns="http://schemas.microsoft.com/office/spreadsheetml/2009/9/main" objectType="CheckBox" checked="Checked" fmlaLink="$X$20" lockText="1" noThreeD="1"/>
</file>

<file path=xl/ctrlProps/ctrlProp566.xml><?xml version="1.0" encoding="utf-8"?>
<formControlPr xmlns="http://schemas.microsoft.com/office/spreadsheetml/2009/9/main" objectType="CheckBox" fmlaLink="$X$21" lockText="1" noThreeD="1"/>
</file>

<file path=xl/ctrlProps/ctrlProp567.xml><?xml version="1.0" encoding="utf-8"?>
<formControlPr xmlns="http://schemas.microsoft.com/office/spreadsheetml/2009/9/main" objectType="CheckBox" fmlaLink="$X$22" lockText="1" noThreeD="1"/>
</file>

<file path=xl/ctrlProps/ctrlProp568.xml><?xml version="1.0" encoding="utf-8"?>
<formControlPr xmlns="http://schemas.microsoft.com/office/spreadsheetml/2009/9/main" objectType="CheckBox" fmlaLink="$X$23" lockText="1" noThreeD="1"/>
</file>

<file path=xl/ctrlProps/ctrlProp569.xml><?xml version="1.0" encoding="utf-8"?>
<formControlPr xmlns="http://schemas.microsoft.com/office/spreadsheetml/2009/9/main" objectType="Drop" dropLines="10" dropStyle="combo" dx="17" fmlaLink="$B$45" fmlaRange="Arbeitsgänge!$C$27:$C$80" noThreeD="1" val="0"/>
</file>

<file path=xl/ctrlProps/ctrlProp57.xml><?xml version="1.0" encoding="utf-8"?>
<formControlPr xmlns="http://schemas.microsoft.com/office/spreadsheetml/2009/9/main" objectType="Drop" dropLines="10" dropStyle="combo" dx="17" fmlaLink="$B$53" fmlaRange="Arbeitsgänge!$C$26:$C$78" noThreeD="1" sel="43" val="35"/>
</file>

<file path=xl/ctrlProps/ctrlProp570.xml><?xml version="1.0" encoding="utf-8"?>
<formControlPr xmlns="http://schemas.microsoft.com/office/spreadsheetml/2009/9/main" objectType="Drop" dropLines="10" dropStyle="combo" dx="17" fmlaLink="$B$46" fmlaRange="Arbeitsgänge!$C$27:$C$80" noThreeD="1" sel="7" val="0"/>
</file>

<file path=xl/ctrlProps/ctrlProp571.xml><?xml version="1.0" encoding="utf-8"?>
<formControlPr xmlns="http://schemas.microsoft.com/office/spreadsheetml/2009/9/main" objectType="Drop" dropLines="10" dropStyle="combo" dx="17" fmlaLink="$B$47" fmlaRange="Arbeitsgänge!$C$27:$C$80" noThreeD="1" sel="15" val="8"/>
</file>

<file path=xl/ctrlProps/ctrlProp572.xml><?xml version="1.0" encoding="utf-8"?>
<formControlPr xmlns="http://schemas.microsoft.com/office/spreadsheetml/2009/9/main" objectType="Drop" dropLines="10" dropStyle="combo" dx="17" fmlaLink="$B$48" fmlaRange="Arbeitsgänge!$C$27:$C$80" noThreeD="1" sel="25" val="22"/>
</file>

<file path=xl/ctrlProps/ctrlProp573.xml><?xml version="1.0" encoding="utf-8"?>
<formControlPr xmlns="http://schemas.microsoft.com/office/spreadsheetml/2009/9/main" objectType="Drop" dropLines="10" dropStyle="combo" dx="17" fmlaLink="$B$49" fmlaRange="Arbeitsgänge!$C$27:$C$80" noThreeD="1" sel="34" val="32"/>
</file>

<file path=xl/ctrlProps/ctrlProp574.xml><?xml version="1.0" encoding="utf-8"?>
<formControlPr xmlns="http://schemas.microsoft.com/office/spreadsheetml/2009/9/main" objectType="Drop" dropLines="10" dropStyle="combo" dx="17" fmlaLink="$B$50" fmlaRange="Arbeitsgänge!$C$27:$C$80" noThreeD="1" sel="52" val="42"/>
</file>

<file path=xl/ctrlProps/ctrlProp575.xml><?xml version="1.0" encoding="utf-8"?>
<formControlPr xmlns="http://schemas.microsoft.com/office/spreadsheetml/2009/9/main" objectType="Drop" dropLines="10" dropStyle="combo" dx="17" fmlaLink="$B$51" fmlaRange="Arbeitsgänge!$C$27:$C$80" noThreeD="1" sel="52" val="42"/>
</file>

<file path=xl/ctrlProps/ctrlProp576.xml><?xml version="1.0" encoding="utf-8"?>
<formControlPr xmlns="http://schemas.microsoft.com/office/spreadsheetml/2009/9/main" objectType="Drop" dropLines="10" dropStyle="combo" dx="17" fmlaLink="$B$52" fmlaRange="Arbeitsgänge!$C$27:$C$80" noThreeD="1" sel="52" val="42"/>
</file>

<file path=xl/ctrlProps/ctrlProp577.xml><?xml version="1.0" encoding="utf-8"?>
<formControlPr xmlns="http://schemas.microsoft.com/office/spreadsheetml/2009/9/main" objectType="Drop" dropLines="10" dropStyle="combo" dx="17" fmlaLink="$B$53" fmlaRange="Arbeitsgänge!$C$27:$C$80" noThreeD="1" sel="52" val="42"/>
</file>

<file path=xl/ctrlProps/ctrlProp578.xml><?xml version="1.0" encoding="utf-8"?>
<formControlPr xmlns="http://schemas.microsoft.com/office/spreadsheetml/2009/9/main" objectType="Drop" dropLines="10" dropStyle="combo" dx="17" fmlaLink="$B$54" fmlaRange="Arbeitsgänge!$C$27:$C$80" noThreeD="1" sel="52" val="42"/>
</file>

<file path=xl/ctrlProps/ctrlProp579.xml><?xml version="1.0" encoding="utf-8"?>
<formControlPr xmlns="http://schemas.microsoft.com/office/spreadsheetml/2009/9/main" objectType="Drop" dropLines="10" dropStyle="combo" dx="17" fmlaLink="$B$55" fmlaRange="Arbeitsgänge!$C$27:$C$80" noThreeD="1" sel="52" val="42"/>
</file>

<file path=xl/ctrlProps/ctrlProp58.xml><?xml version="1.0" encoding="utf-8"?>
<formControlPr xmlns="http://schemas.microsoft.com/office/spreadsheetml/2009/9/main" objectType="Drop" dropLines="10" dropStyle="combo" dx="17" fmlaLink="$B$54" fmlaRange="Arbeitsgänge!$C$26:$C$78" noThreeD="1" sel="37" val="36"/>
</file>

<file path=xl/ctrlProps/ctrlProp59.xml><?xml version="1.0" encoding="utf-8"?>
<formControlPr xmlns="http://schemas.microsoft.com/office/spreadsheetml/2009/9/main" objectType="Drop" dropLines="10" dropStyle="combo" dx="17" fmlaLink="$B$55" fmlaRange="Arbeitsgänge!$C$26:$C$78" noThreeD="1" sel="49" val="43"/>
</file>

<file path=xl/ctrlProps/ctrlProp6.xml><?xml version="1.0" encoding="utf-8"?>
<formControlPr xmlns="http://schemas.microsoft.com/office/spreadsheetml/2009/9/main" objectType="Drop" dropLines="6" dropStyle="combo" dx="17" fmlaLink="$Y$5" fmlaRange="$T$4:$T$13" noThreeD="1" sel="10" val="4"/>
</file>

<file path=xl/ctrlProps/ctrlProp60.xml><?xml version="1.0" encoding="utf-8"?>
<formControlPr xmlns="http://schemas.microsoft.com/office/spreadsheetml/2009/9/main" objectType="Drop" dropLines="10" dropStyle="combo" dx="17" fmlaLink="$B$56" fmlaRange="Arbeitsgänge!$C$26:$C$78" noThreeD="1" sel="49" val="43"/>
</file>

<file path=xl/ctrlProps/ctrlProp61.xml><?xml version="1.0" encoding="utf-8"?>
<formControlPr xmlns="http://schemas.microsoft.com/office/spreadsheetml/2009/9/main" objectType="Drop" dropLines="10" dropStyle="combo" dx="17" fmlaLink="$B$26" fmlaRange="Prämien!$D$8:$M$37" noThreeD="1" val="0"/>
</file>

<file path=xl/ctrlProps/ctrlProp62.xml><?xml version="1.0" encoding="utf-8"?>
<formControlPr xmlns="http://schemas.microsoft.com/office/spreadsheetml/2009/9/main" objectType="Drop" dropLines="10" dropStyle="combo" dx="17" fmlaLink="$B$28" fmlaRange="Prämien!$D$8:$M$37" noThreeD="1" sel="30" val="20"/>
</file>

<file path=xl/ctrlProps/ctrlProp63.xml><?xml version="1.0" encoding="utf-8"?>
<formControlPr xmlns="http://schemas.microsoft.com/office/spreadsheetml/2009/9/main" objectType="Drop" dropLines="10" dropStyle="combo" dx="17" fmlaLink="$B$29" fmlaRange="Prämien!$D$8:$M$37" noThreeD="1" sel="30" val="20"/>
</file>

<file path=xl/ctrlProps/ctrlProp64.xml><?xml version="1.0" encoding="utf-8"?>
<formControlPr xmlns="http://schemas.microsoft.com/office/spreadsheetml/2009/9/main" objectType="Drop" dropLines="10" dropStyle="combo" dx="17" fmlaLink="$B$27" fmlaRange="Prämien!$D$8:$M$37" noThreeD="1" sel="25" val="20"/>
</file>

<file path=xl/ctrlProps/ctrlProp65.xml><?xml version="1.0" encoding="utf-8"?>
<formControlPr xmlns="http://schemas.microsoft.com/office/spreadsheetml/2009/9/main" objectType="Drop" dropLines="3" dropStyle="combo" dx="17" fmlaLink="$B$31" fmlaRange="Prämien!$Q$8:$Y$9" noThreeD="1" val="0"/>
</file>

<file path=xl/ctrlProps/ctrlProp66.xml><?xml version="1.0" encoding="utf-8"?>
<formControlPr xmlns="http://schemas.microsoft.com/office/spreadsheetml/2009/9/main" objectType="Drop" dropLines="6" dropStyle="combo" dx="17" fmlaLink="$V$5" fmlaRange="$T$4:$T$15" noThreeD="1" sel="5" val="3"/>
</file>

<file path=xl/ctrlProps/ctrlProp67.xml><?xml version="1.0" encoding="utf-8"?>
<formControlPr xmlns="http://schemas.microsoft.com/office/spreadsheetml/2009/9/main" objectType="Drop" dropLines="6" dropStyle="combo" dx="17" fmlaLink="$X$5" fmlaRange="$T$4:$T$13" noThreeD="1" sel="5" val="3"/>
</file>

<file path=xl/ctrlProps/ctrlProp68.xml><?xml version="1.0" encoding="utf-8"?>
<formControlPr xmlns="http://schemas.microsoft.com/office/spreadsheetml/2009/9/main" objectType="Drop" dropLines="6" dropStyle="combo" dx="17" fmlaLink="$W$5" fmlaRange="$T$4:$T$15" noThreeD="1" sel="5" val="3"/>
</file>

<file path=xl/ctrlProps/ctrlProp69.xml><?xml version="1.0" encoding="utf-8"?>
<formControlPr xmlns="http://schemas.microsoft.com/office/spreadsheetml/2009/9/main" objectType="Drop" dropLines="6" dropStyle="combo" dx="17" fmlaLink="$Y$5" fmlaRange="$T$4:$T$13" noThreeD="1" sel="5" val="3"/>
</file>

<file path=xl/ctrlProps/ctrlProp7.xml><?xml version="1.0" encoding="utf-8"?>
<formControlPr xmlns="http://schemas.microsoft.com/office/spreadsheetml/2009/9/main" objectType="Drop" dropLines="6" dropStyle="combo" dx="17" fmlaLink="$Z$5" fmlaRange="$T$4:$T$13" noThreeD="1" sel="10" val="4"/>
</file>

<file path=xl/ctrlProps/ctrlProp70.xml><?xml version="1.0" encoding="utf-8"?>
<formControlPr xmlns="http://schemas.microsoft.com/office/spreadsheetml/2009/9/main" objectType="Drop" dropLines="6" dropStyle="combo" dx="17" fmlaLink="$Z$5" fmlaRange="$T$4:$T$13" noThreeD="1" sel="10" val="4"/>
</file>

<file path=xl/ctrlProps/ctrlProp71.xml><?xml version="1.0" encoding="utf-8"?>
<formControlPr xmlns="http://schemas.microsoft.com/office/spreadsheetml/2009/9/main" objectType="Drop" dropLines="10" dropStyle="combo" dx="17" fmlaLink="$B$46" fmlaRange="Arbeitsgänge!$C$26:$C$78" noThreeD="1" sel="19" val="17"/>
</file>

<file path=xl/ctrlProps/ctrlProp72.xml><?xml version="1.0" encoding="utf-8"?>
<formControlPr xmlns="http://schemas.microsoft.com/office/spreadsheetml/2009/9/main" objectType="Drop" dropLines="10" dropStyle="combo" dx="17" fmlaLink="$B$47" fmlaRange="Arbeitsgänge!$C$26:$C$78" noThreeD="1" sel="20" val="18"/>
</file>

<file path=xl/ctrlProps/ctrlProp73.xml><?xml version="1.0" encoding="utf-8"?>
<formControlPr xmlns="http://schemas.microsoft.com/office/spreadsheetml/2009/9/main" objectType="Drop" dropLines="10" dropStyle="combo" dx="17" fmlaLink="$B$48" fmlaRange="Arbeitsgänge!$C$26:$C$78" noThreeD="1" sel="22" val="13"/>
</file>

<file path=xl/ctrlProps/ctrlProp74.xml><?xml version="1.0" encoding="utf-8"?>
<formControlPr xmlns="http://schemas.microsoft.com/office/spreadsheetml/2009/9/main" objectType="Drop" dropLines="10" dropStyle="combo" dx="17" fmlaLink="$B$49" fmlaRange="Arbeitsgänge!$C$26:$C$78" noThreeD="1" sel="34" val="28"/>
</file>

<file path=xl/ctrlProps/ctrlProp75.xml><?xml version="1.0" encoding="utf-8"?>
<formControlPr xmlns="http://schemas.microsoft.com/office/spreadsheetml/2009/9/main" objectType="Drop" dropLines="10" dropStyle="combo" dx="17" fmlaLink="$B$50" fmlaRange="Arbeitsgänge!$C$26:$C$78" noThreeD="1" sel="28" val="23"/>
</file>

<file path=xl/ctrlProps/ctrlProp76.xml><?xml version="1.0" encoding="utf-8"?>
<formControlPr xmlns="http://schemas.microsoft.com/office/spreadsheetml/2009/9/main" objectType="Drop" dropLines="10" dropStyle="combo" dx="17" fmlaLink="$B$51" fmlaRange="Arbeitsgänge!$C$26:$C$78" noThreeD="1" sel="30" val="21"/>
</file>

<file path=xl/ctrlProps/ctrlProp77.xml><?xml version="1.0" encoding="utf-8"?>
<formControlPr xmlns="http://schemas.microsoft.com/office/spreadsheetml/2009/9/main" objectType="Drop" dropLines="10" dropStyle="combo" dx="17" fmlaLink="$B$52" fmlaRange="Arbeitsgänge!$C$26:$C$78" noThreeD="1" sel="32" val="23"/>
</file>

<file path=xl/ctrlProps/ctrlProp78.xml><?xml version="1.0" encoding="utf-8"?>
<formControlPr xmlns="http://schemas.microsoft.com/office/spreadsheetml/2009/9/main" objectType="Drop" dropLines="10" dropStyle="combo" dx="17" fmlaLink="$B$53" fmlaRange="Arbeitsgänge!$C$26:$C$78" noThreeD="1" sel="43" val="35"/>
</file>

<file path=xl/ctrlProps/ctrlProp79.xml><?xml version="1.0" encoding="utf-8"?>
<formControlPr xmlns="http://schemas.microsoft.com/office/spreadsheetml/2009/9/main" objectType="Drop" dropLines="10" dropStyle="combo" dx="17" fmlaLink="$B$54" fmlaRange="Arbeitsgänge!$C$26:$C$78" noThreeD="1" sel="37" val="34"/>
</file>

<file path=xl/ctrlProps/ctrlProp8.xml><?xml version="1.0" encoding="utf-8"?>
<formControlPr xmlns="http://schemas.microsoft.com/office/spreadsheetml/2009/9/main" objectType="Drop" dropLines="10" dropStyle="combo" dx="17" fmlaLink="$B$46" fmlaRange="Arbeitsgänge!$C$26:$C$78" noThreeD="1" sel="19" val="13"/>
</file>

<file path=xl/ctrlProps/ctrlProp80.xml><?xml version="1.0" encoding="utf-8"?>
<formControlPr xmlns="http://schemas.microsoft.com/office/spreadsheetml/2009/9/main" objectType="Drop" dropLines="10" dropStyle="combo" dx="17" fmlaLink="$B$55" fmlaRange="Arbeitsgänge!$C$26:$C$78" noThreeD="1" sel="49" val="43"/>
</file>

<file path=xl/ctrlProps/ctrlProp81.xml><?xml version="1.0" encoding="utf-8"?>
<formControlPr xmlns="http://schemas.microsoft.com/office/spreadsheetml/2009/9/main" objectType="Drop" dropLines="10" dropStyle="combo" dx="17" fmlaLink="$B$56" fmlaRange="Arbeitsgänge!$C$26:$C$78" noThreeD="1" sel="49" val="43"/>
</file>

<file path=xl/ctrlProps/ctrlProp82.xml><?xml version="1.0" encoding="utf-8"?>
<formControlPr xmlns="http://schemas.microsoft.com/office/spreadsheetml/2009/9/main" objectType="Drop" dropLines="10" dropStyle="combo" dx="17" fmlaLink="$B$26" fmlaRange="Prämien!$D$8:$M$37" noThreeD="1" val="0"/>
</file>

<file path=xl/ctrlProps/ctrlProp83.xml><?xml version="1.0" encoding="utf-8"?>
<formControlPr xmlns="http://schemas.microsoft.com/office/spreadsheetml/2009/9/main" objectType="Drop" dropLines="10" dropStyle="combo" dx="17" fmlaLink="$B$28" fmlaRange="Prämien!$D$8:$M$37" noThreeD="1" sel="30" val="20"/>
</file>

<file path=xl/ctrlProps/ctrlProp84.xml><?xml version="1.0" encoding="utf-8"?>
<formControlPr xmlns="http://schemas.microsoft.com/office/spreadsheetml/2009/9/main" objectType="Drop" dropLines="10" dropStyle="combo" dx="17" fmlaLink="$B$29" fmlaRange="Prämien!$D$8:$M$37" noThreeD="1" sel="30" val="20"/>
</file>

<file path=xl/ctrlProps/ctrlProp85.xml><?xml version="1.0" encoding="utf-8"?>
<formControlPr xmlns="http://schemas.microsoft.com/office/spreadsheetml/2009/9/main" objectType="Drop" dropLines="10" dropStyle="combo" dx="17" fmlaLink="$B$27" fmlaRange="Prämien!$D$8:$M$37" noThreeD="1" sel="26" val="20"/>
</file>

<file path=xl/ctrlProps/ctrlProp86.xml><?xml version="1.0" encoding="utf-8"?>
<formControlPr xmlns="http://schemas.microsoft.com/office/spreadsheetml/2009/9/main" objectType="Drop" dropLines="3" dropStyle="combo" dx="17" fmlaLink="$B$31" fmlaRange="Prämien!$Q$8:$Y$9" noThreeD="1" val="0"/>
</file>

<file path=xl/ctrlProps/ctrlProp87.xml><?xml version="1.0" encoding="utf-8"?>
<formControlPr xmlns="http://schemas.microsoft.com/office/spreadsheetml/2009/9/main" objectType="Drop" dropLines="6" dropStyle="combo" dx="17" fmlaLink="$V$5" fmlaRange="$T$4:$T$15" noThreeD="1" sel="5" val="3"/>
</file>

<file path=xl/ctrlProps/ctrlProp88.xml><?xml version="1.0" encoding="utf-8"?>
<formControlPr xmlns="http://schemas.microsoft.com/office/spreadsheetml/2009/9/main" objectType="Drop" dropLines="6" dropStyle="combo" dx="17" fmlaLink="$X$5" fmlaRange="$T$4:$T$13" noThreeD="1" sel="10" val="4"/>
</file>

<file path=xl/ctrlProps/ctrlProp89.xml><?xml version="1.0" encoding="utf-8"?>
<formControlPr xmlns="http://schemas.microsoft.com/office/spreadsheetml/2009/9/main" objectType="Drop" dropLines="6" dropStyle="combo" dx="17" fmlaLink="$W$5" fmlaRange="$T$4:$T$15" noThreeD="1" sel="6" val="4"/>
</file>

<file path=xl/ctrlProps/ctrlProp9.xml><?xml version="1.0" encoding="utf-8"?>
<formControlPr xmlns="http://schemas.microsoft.com/office/spreadsheetml/2009/9/main" objectType="Drop" dropLines="10" dropStyle="combo" dx="17" fmlaLink="$B$47" fmlaRange="Arbeitsgänge!$C$26:$C$78" noThreeD="1" sel="20" val="18"/>
</file>

<file path=xl/ctrlProps/ctrlProp90.xml><?xml version="1.0" encoding="utf-8"?>
<formControlPr xmlns="http://schemas.microsoft.com/office/spreadsheetml/2009/9/main" objectType="Drop" dropLines="6" dropStyle="combo" dx="17" fmlaLink="$Y$5" fmlaRange="$T$4:$T$13" noThreeD="1" sel="10" val="4"/>
</file>

<file path=xl/ctrlProps/ctrlProp91.xml><?xml version="1.0" encoding="utf-8"?>
<formControlPr xmlns="http://schemas.microsoft.com/office/spreadsheetml/2009/9/main" objectType="Drop" dropLines="6" dropStyle="combo" dx="17" fmlaLink="$Z$5" fmlaRange="$T$4:$T$13" noThreeD="1" sel="10" val="4"/>
</file>

<file path=xl/ctrlProps/ctrlProp92.xml><?xml version="1.0" encoding="utf-8"?>
<formControlPr xmlns="http://schemas.microsoft.com/office/spreadsheetml/2009/9/main" objectType="Drop" dropLines="10" dropStyle="combo" dx="17" fmlaLink="$B$46" fmlaRange="Arbeitsgänge!$C$26:$C$78" noThreeD="1" sel="19" val="17"/>
</file>

<file path=xl/ctrlProps/ctrlProp93.xml><?xml version="1.0" encoding="utf-8"?>
<formControlPr xmlns="http://schemas.microsoft.com/office/spreadsheetml/2009/9/main" objectType="Drop" dropLines="10" dropStyle="combo" dx="17" fmlaLink="$B$47" fmlaRange="Arbeitsgänge!$C$26:$C$78" noThreeD="1" sel="20" val="18"/>
</file>

<file path=xl/ctrlProps/ctrlProp94.xml><?xml version="1.0" encoding="utf-8"?>
<formControlPr xmlns="http://schemas.microsoft.com/office/spreadsheetml/2009/9/main" objectType="Drop" dropLines="10" dropStyle="combo" dx="17" fmlaLink="$B$48" fmlaRange="Arbeitsgänge!$C$26:$C$78" noThreeD="1" sel="22" val="13"/>
</file>

<file path=xl/ctrlProps/ctrlProp95.xml><?xml version="1.0" encoding="utf-8"?>
<formControlPr xmlns="http://schemas.microsoft.com/office/spreadsheetml/2009/9/main" objectType="Drop" dropLines="10" dropStyle="combo" dx="17" fmlaLink="$B$49" fmlaRange="Arbeitsgänge!$C$26:$C$78" noThreeD="1" sel="34" val="28"/>
</file>

<file path=xl/ctrlProps/ctrlProp96.xml><?xml version="1.0" encoding="utf-8"?>
<formControlPr xmlns="http://schemas.microsoft.com/office/spreadsheetml/2009/9/main" objectType="Drop" dropLines="10" dropStyle="combo" dx="17" fmlaLink="$B$50" fmlaRange="Arbeitsgänge!$C$26:$C$78" noThreeD="1" sel="26" val="23"/>
</file>

<file path=xl/ctrlProps/ctrlProp97.xml><?xml version="1.0" encoding="utf-8"?>
<formControlPr xmlns="http://schemas.microsoft.com/office/spreadsheetml/2009/9/main" objectType="Drop" dropLines="10" dropStyle="combo" dx="17" fmlaLink="$B$51" fmlaRange="Arbeitsgänge!$C$26:$C$78" noThreeD="1" sel="30" val="21"/>
</file>

<file path=xl/ctrlProps/ctrlProp98.xml><?xml version="1.0" encoding="utf-8"?>
<formControlPr xmlns="http://schemas.microsoft.com/office/spreadsheetml/2009/9/main" objectType="Drop" dropLines="10" dropStyle="combo" dx="17" fmlaLink="$B$52" fmlaRange="Arbeitsgänge!$C$26:$C$78" noThreeD="1" sel="32" val="23"/>
</file>

<file path=xl/ctrlProps/ctrlProp99.xml><?xml version="1.0" encoding="utf-8"?>
<formControlPr xmlns="http://schemas.microsoft.com/office/spreadsheetml/2009/9/main" objectType="Drop" dropLines="10" dropStyle="combo" dx="17" fmlaLink="$B$53" fmlaRange="Arbeitsgänge!$C$26:$C$78" noThreeD="1" sel="41" val="35"/>
</file>

<file path=xl/drawings/_rels/drawing1.xml.rels><?xml version="1.0" encoding="UTF-8" standalone="yes"?>
<Relationships xmlns="http://schemas.openxmlformats.org/package/2006/relationships"><Relationship Id="rId3" Type="http://schemas.openxmlformats.org/officeDocument/2006/relationships/image" Target="../media/image2.wmf"/><Relationship Id="rId2" Type="http://schemas.microsoft.com/office/2007/relationships/hdphoto" Target="../media/hdphoto1.wdp"/><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10</xdr:col>
      <xdr:colOff>238125</xdr:colOff>
      <xdr:row>12</xdr:row>
      <xdr:rowOff>130175</xdr:rowOff>
    </xdr:from>
    <xdr:to>
      <xdr:col>12</xdr:col>
      <xdr:colOff>568325</xdr:colOff>
      <xdr:row>21</xdr:row>
      <xdr:rowOff>171450</xdr:rowOff>
    </xdr:to>
    <xdr:sp macro="" textlink="">
      <xdr:nvSpPr>
        <xdr:cNvPr id="158721" name="AutoShape 1"/>
        <xdr:cNvSpPr>
          <a:spLocks noChangeArrowheads="1"/>
        </xdr:cNvSpPr>
      </xdr:nvSpPr>
      <xdr:spPr bwMode="auto">
        <a:xfrm>
          <a:off x="9750425" y="3813175"/>
          <a:ext cx="1854200" cy="2441575"/>
        </a:xfrm>
        <a:prstGeom prst="downArrowCallout">
          <a:avLst>
            <a:gd name="adj1" fmla="val 53571"/>
            <a:gd name="adj2" fmla="val 53571"/>
            <a:gd name="adj3" fmla="val 16667"/>
            <a:gd name="adj4" fmla="val 66667"/>
          </a:avLst>
        </a:prstGeom>
        <a:solidFill>
          <a:srgbClr xmlns:mc="http://schemas.openxmlformats.org/markup-compatibility/2006" xmlns:a14="http://schemas.microsoft.com/office/drawing/2010/main" val="69FFFF" mc:Ignorable="a14" a14:legacySpreadsheetColorIndex="4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de-DE" sz="1200" b="0" i="0" u="none" strike="noStrike" baseline="0">
              <a:solidFill>
                <a:srgbClr val="FF0000"/>
              </a:solidFill>
              <a:latin typeface="Arial"/>
              <a:cs typeface="Arial"/>
            </a:rPr>
            <a:t>        Click auf Zahl:</a:t>
          </a:r>
        </a:p>
        <a:p>
          <a:pPr algn="l" rtl="0">
            <a:defRPr sz="1000"/>
          </a:pPr>
          <a:endParaRPr lang="de-DE" sz="1200" b="0" i="0" u="none" strike="noStrike" baseline="0">
            <a:solidFill>
              <a:srgbClr val="FF0000"/>
            </a:solidFill>
            <a:latin typeface="Arial"/>
            <a:cs typeface="Arial"/>
          </a:endParaRPr>
        </a:p>
        <a:p>
          <a:pPr algn="l" rtl="0">
            <a:defRPr sz="1000"/>
          </a:pPr>
          <a:r>
            <a:rPr lang="de-DE" sz="1200" b="0" i="0" u="none" strike="noStrike" baseline="0">
              <a:solidFill>
                <a:srgbClr val="FF0000"/>
              </a:solidFill>
              <a:latin typeface="Arial"/>
              <a:cs typeface="Arial"/>
            </a:rPr>
            <a:t>    = Sprung zu </a:t>
          </a:r>
          <a:r>
            <a:rPr lang="de-DE" sz="1200" b="0" i="0" u="sng" strike="noStrike" baseline="0">
              <a:solidFill>
                <a:srgbClr val="0000FF"/>
              </a:solidFill>
              <a:latin typeface="Arial"/>
              <a:cs typeface="Arial"/>
            </a:rPr>
            <a:t>Seite .........</a:t>
          </a:r>
        </a:p>
      </xdr:txBody>
    </xdr:sp>
    <xdr:clientData fPrintsWithSheet="0"/>
  </xdr:twoCellAnchor>
  <xdr:twoCellAnchor editAs="oneCell">
    <xdr:from>
      <xdr:col>7</xdr:col>
      <xdr:colOff>719914</xdr:colOff>
      <xdr:row>1</xdr:row>
      <xdr:rowOff>76962</xdr:rowOff>
    </xdr:from>
    <xdr:to>
      <xdr:col>8</xdr:col>
      <xdr:colOff>1237586</xdr:colOff>
      <xdr:row>5</xdr:row>
      <xdr:rowOff>59266</xdr:rowOff>
    </xdr:to>
    <xdr:pic>
      <xdr:nvPicPr>
        <xdr:cNvPr id="6" name="Grafik 5"/>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4000"/>
                  </a14:imgEffect>
                </a14:imgLayer>
              </a14:imgProps>
            </a:ext>
            <a:ext uri="{28A0092B-C50C-407E-A947-70E740481C1C}">
              <a14:useLocalDpi xmlns:a14="http://schemas.microsoft.com/office/drawing/2010/main" val="0"/>
            </a:ext>
          </a:extLst>
        </a:blip>
        <a:stretch>
          <a:fillRect/>
        </a:stretch>
      </xdr:blipFill>
      <xdr:spPr bwMode="auto">
        <a:xfrm>
          <a:off x="7062866" y="320531"/>
          <a:ext cx="2100873" cy="1575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287965</xdr:colOff>
      <xdr:row>4</xdr:row>
      <xdr:rowOff>210435</xdr:rowOff>
    </xdr:from>
    <xdr:ext cx="913648" cy="374077"/>
    <xdr:sp macro="" textlink="">
      <xdr:nvSpPr>
        <xdr:cNvPr id="2" name="Textfeld 1"/>
        <xdr:cNvSpPr txBox="1"/>
      </xdr:nvSpPr>
      <xdr:spPr>
        <a:xfrm>
          <a:off x="8214118" y="1661702"/>
          <a:ext cx="913648"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900" b="1">
              <a:solidFill>
                <a:schemeClr val="tx1">
                  <a:lumMod val="75000"/>
                  <a:lumOff val="25000"/>
                </a:schemeClr>
              </a:solidFill>
            </a:rPr>
            <a:t>J. Schabel,2015</a:t>
          </a:r>
        </a:p>
        <a:p>
          <a:endParaRPr lang="de-DE" sz="900" b="1"/>
        </a:p>
      </xdr:txBody>
    </xdr:sp>
    <xdr:clientData/>
  </xdr:oneCellAnchor>
  <xdr:twoCellAnchor>
    <xdr:from>
      <xdr:col>17</xdr:col>
      <xdr:colOff>165983</xdr:colOff>
      <xdr:row>28</xdr:row>
      <xdr:rowOff>13904</xdr:rowOff>
    </xdr:from>
    <xdr:to>
      <xdr:col>20</xdr:col>
      <xdr:colOff>505355</xdr:colOff>
      <xdr:row>31</xdr:row>
      <xdr:rowOff>184578</xdr:rowOff>
    </xdr:to>
    <xdr:sp macro="" textlink="">
      <xdr:nvSpPr>
        <xdr:cNvPr id="3" name="Textfeld 2"/>
        <xdr:cNvSpPr txBox="1"/>
      </xdr:nvSpPr>
      <xdr:spPr>
        <a:xfrm>
          <a:off x="9786974" y="6915036"/>
          <a:ext cx="2683726" cy="881084"/>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000" b="1">
              <a:solidFill>
                <a:srgbClr val="C00000"/>
              </a:solidFill>
            </a:rPr>
            <a:t>(a) = Dateneingabe</a:t>
          </a:r>
        </a:p>
        <a:p>
          <a:r>
            <a:rPr lang="de-DE" sz="2000" b="1">
              <a:solidFill>
                <a:srgbClr val="C00000"/>
              </a:solidFill>
            </a:rPr>
            <a:t>(b) = Kostenrechnung</a:t>
          </a:r>
        </a:p>
      </xdr:txBody>
    </xdr:sp>
    <xdr:clientData/>
  </xdr:twoCellAnchor>
  <xdr:twoCellAnchor editAs="oneCell">
    <xdr:from>
      <xdr:col>1</xdr:col>
      <xdr:colOff>50744</xdr:colOff>
      <xdr:row>1</xdr:row>
      <xdr:rowOff>1</xdr:rowOff>
    </xdr:from>
    <xdr:to>
      <xdr:col>4</xdr:col>
      <xdr:colOff>404424</xdr:colOff>
      <xdr:row>4</xdr:row>
      <xdr:rowOff>30446</xdr:rowOff>
    </xdr:to>
    <xdr:pic>
      <xdr:nvPicPr>
        <xdr:cNvPr id="4" name="Grafik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420" y="243570"/>
          <a:ext cx="1784651" cy="1238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43132</xdr:rowOff>
        </xdr:from>
        <xdr:to>
          <xdr:col>14</xdr:col>
          <xdr:colOff>595223</xdr:colOff>
          <xdr:row>4</xdr:row>
          <xdr:rowOff>224287</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25879</xdr:colOff>
          <xdr:row>4</xdr:row>
          <xdr:rowOff>43132</xdr:rowOff>
        </xdr:from>
        <xdr:to>
          <xdr:col>13</xdr:col>
          <xdr:colOff>603849</xdr:colOff>
          <xdr:row>5</xdr:row>
          <xdr:rowOff>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60385</xdr:rowOff>
        </xdr:from>
        <xdr:to>
          <xdr:col>15</xdr:col>
          <xdr:colOff>595223</xdr:colOff>
          <xdr:row>4</xdr:row>
          <xdr:rowOff>224287</xdr:rowOff>
        </xdr:to>
        <xdr:sp macro="" textlink="">
          <xdr:nvSpPr>
            <xdr:cNvPr id="5124" name="Drop Down 4" hidden="1">
              <a:extLst>
                <a:ext uri="{63B3BB69-23CF-44E3-9099-C40C66FF867C}">
                  <a14:compatExt spid="_x0000_s512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8626</xdr:colOff>
          <xdr:row>4</xdr:row>
          <xdr:rowOff>34506</xdr:rowOff>
        </xdr:from>
        <xdr:to>
          <xdr:col>16</xdr:col>
          <xdr:colOff>595223</xdr:colOff>
          <xdr:row>4</xdr:row>
          <xdr:rowOff>224287</xdr:rowOff>
        </xdr:to>
        <xdr:sp macro="" textlink="">
          <xdr:nvSpPr>
            <xdr:cNvPr id="5125" name="Drop Down 5" hidden="1">
              <a:extLst>
                <a:ext uri="{63B3BB69-23CF-44E3-9099-C40C66FF867C}">
                  <a14:compatExt spid="_x0000_s51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4</xdr:col>
          <xdr:colOff>646981</xdr:colOff>
          <xdr:row>45</xdr:row>
          <xdr:rowOff>146649</xdr:rowOff>
        </xdr:to>
        <xdr:sp macro="" textlink="">
          <xdr:nvSpPr>
            <xdr:cNvPr id="5126" name="Drop Down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189781</xdr:rowOff>
        </xdr:from>
        <xdr:to>
          <xdr:col>4</xdr:col>
          <xdr:colOff>646981</xdr:colOff>
          <xdr:row>46</xdr:row>
          <xdr:rowOff>138023</xdr:rowOff>
        </xdr:to>
        <xdr:sp macro="" textlink="">
          <xdr:nvSpPr>
            <xdr:cNvPr id="5127" name="Drop Down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181155</xdr:rowOff>
        </xdr:from>
        <xdr:to>
          <xdr:col>4</xdr:col>
          <xdr:colOff>646981</xdr:colOff>
          <xdr:row>47</xdr:row>
          <xdr:rowOff>138023</xdr:rowOff>
        </xdr:to>
        <xdr:sp macro="" textlink="">
          <xdr:nvSpPr>
            <xdr:cNvPr id="5128" name="Drop Down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181155</xdr:rowOff>
        </xdr:from>
        <xdr:to>
          <xdr:col>4</xdr:col>
          <xdr:colOff>646981</xdr:colOff>
          <xdr:row>48</xdr:row>
          <xdr:rowOff>138023</xdr:rowOff>
        </xdr:to>
        <xdr:sp macro="" textlink="">
          <xdr:nvSpPr>
            <xdr:cNvPr id="5129" name="Drop Down 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8626</xdr:rowOff>
        </xdr:from>
        <xdr:to>
          <xdr:col>4</xdr:col>
          <xdr:colOff>646981</xdr:colOff>
          <xdr:row>49</xdr:row>
          <xdr:rowOff>146649</xdr:rowOff>
        </xdr:to>
        <xdr:sp macro="" textlink="">
          <xdr:nvSpPr>
            <xdr:cNvPr id="5130" name="Drop Down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4</xdr:col>
          <xdr:colOff>646981</xdr:colOff>
          <xdr:row>50</xdr:row>
          <xdr:rowOff>172528</xdr:rowOff>
        </xdr:to>
        <xdr:sp macro="" textlink="">
          <xdr:nvSpPr>
            <xdr:cNvPr id="5131" name="Drop Down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25879</xdr:rowOff>
        </xdr:from>
        <xdr:to>
          <xdr:col>4</xdr:col>
          <xdr:colOff>646981</xdr:colOff>
          <xdr:row>51</xdr:row>
          <xdr:rowOff>172528</xdr:rowOff>
        </xdr:to>
        <xdr:sp macro="" textlink="">
          <xdr:nvSpPr>
            <xdr:cNvPr id="5132" name="Drop Down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52</xdr:row>
          <xdr:rowOff>34506</xdr:rowOff>
        </xdr:from>
        <xdr:to>
          <xdr:col>4</xdr:col>
          <xdr:colOff>638355</xdr:colOff>
          <xdr:row>52</xdr:row>
          <xdr:rowOff>172528</xdr:rowOff>
        </xdr:to>
        <xdr:sp macro="" textlink="">
          <xdr:nvSpPr>
            <xdr:cNvPr id="5133" name="Drop Down 1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53</xdr:row>
          <xdr:rowOff>34506</xdr:rowOff>
        </xdr:from>
        <xdr:to>
          <xdr:col>4</xdr:col>
          <xdr:colOff>638355</xdr:colOff>
          <xdr:row>53</xdr:row>
          <xdr:rowOff>172528</xdr:rowOff>
        </xdr:to>
        <xdr:sp macro="" textlink="">
          <xdr:nvSpPr>
            <xdr:cNvPr id="5134" name="Drop Down 1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54</xdr:row>
          <xdr:rowOff>25879</xdr:rowOff>
        </xdr:from>
        <xdr:to>
          <xdr:col>4</xdr:col>
          <xdr:colOff>638355</xdr:colOff>
          <xdr:row>54</xdr:row>
          <xdr:rowOff>172528</xdr:rowOff>
        </xdr:to>
        <xdr:sp macro="" textlink="">
          <xdr:nvSpPr>
            <xdr:cNvPr id="5136" name="Drop Down 16" hidden="1">
              <a:extLst>
                <a:ext uri="{63B3BB69-23CF-44E3-9099-C40C66FF867C}">
                  <a14:compatExt spid="_x0000_s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55</xdr:row>
          <xdr:rowOff>8626</xdr:rowOff>
        </xdr:from>
        <xdr:to>
          <xdr:col>4</xdr:col>
          <xdr:colOff>638355</xdr:colOff>
          <xdr:row>55</xdr:row>
          <xdr:rowOff>146649</xdr:rowOff>
        </xdr:to>
        <xdr:sp macro="" textlink="">
          <xdr:nvSpPr>
            <xdr:cNvPr id="5137" name="Drop Down 17" hidden="1">
              <a:extLst>
                <a:ext uri="{63B3BB69-23CF-44E3-9099-C40C66FF867C}">
                  <a14:compatExt spid="_x0000_s5137"/>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9" name="Textfeld 18"/>
        <xdr:cNvSpPr txBox="1"/>
      </xdr:nvSpPr>
      <xdr:spPr>
        <a:xfrm>
          <a:off x="9765103"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2</xdr:col>
          <xdr:colOff>25879</xdr:colOff>
          <xdr:row>25</xdr:row>
          <xdr:rowOff>25879</xdr:rowOff>
        </xdr:from>
        <xdr:to>
          <xdr:col>7</xdr:col>
          <xdr:colOff>138023</xdr:colOff>
          <xdr:row>25</xdr:row>
          <xdr:rowOff>138023</xdr:rowOff>
        </xdr:to>
        <xdr:sp macro="" textlink="">
          <xdr:nvSpPr>
            <xdr:cNvPr id="5138" name="Drop Down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27</xdr:row>
          <xdr:rowOff>25879</xdr:rowOff>
        </xdr:from>
        <xdr:to>
          <xdr:col>7</xdr:col>
          <xdr:colOff>138023</xdr:colOff>
          <xdr:row>27</xdr:row>
          <xdr:rowOff>146649</xdr:rowOff>
        </xdr:to>
        <xdr:sp macro="" textlink="">
          <xdr:nvSpPr>
            <xdr:cNvPr id="5140" name="Drop Down 20" hidden="1">
              <a:extLst>
                <a:ext uri="{63B3BB69-23CF-44E3-9099-C40C66FF867C}">
                  <a14:compatExt spid="_x0000_s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28</xdr:row>
          <xdr:rowOff>25879</xdr:rowOff>
        </xdr:from>
        <xdr:to>
          <xdr:col>7</xdr:col>
          <xdr:colOff>146649</xdr:colOff>
          <xdr:row>28</xdr:row>
          <xdr:rowOff>146649</xdr:rowOff>
        </xdr:to>
        <xdr:sp macro="" textlink="">
          <xdr:nvSpPr>
            <xdr:cNvPr id="5141" name="Drop Down 21" hidden="1">
              <a:extLst>
                <a:ext uri="{63B3BB69-23CF-44E3-9099-C40C66FF867C}">
                  <a14:compatExt spid="_x0000_s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26</xdr:row>
          <xdr:rowOff>34506</xdr:rowOff>
        </xdr:from>
        <xdr:to>
          <xdr:col>7</xdr:col>
          <xdr:colOff>138023</xdr:colOff>
          <xdr:row>26</xdr:row>
          <xdr:rowOff>155275</xdr:rowOff>
        </xdr:to>
        <xdr:sp macro="" textlink="">
          <xdr:nvSpPr>
            <xdr:cNvPr id="5143" name="Drop Down 2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25879</xdr:colOff>
          <xdr:row>30</xdr:row>
          <xdr:rowOff>8626</xdr:rowOff>
        </xdr:from>
        <xdr:to>
          <xdr:col>7</xdr:col>
          <xdr:colOff>138023</xdr:colOff>
          <xdr:row>30</xdr:row>
          <xdr:rowOff>146649</xdr:rowOff>
        </xdr:to>
        <xdr:sp macro="" textlink="">
          <xdr:nvSpPr>
            <xdr:cNvPr id="5144" name="Drop Down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60385</xdr:rowOff>
        </xdr:from>
        <xdr:to>
          <xdr:col>13</xdr:col>
          <xdr:colOff>25879</xdr:colOff>
          <xdr:row>4</xdr:row>
          <xdr:rowOff>224287</xdr:rowOff>
        </xdr:to>
        <xdr:sp macro="" textlink="">
          <xdr:nvSpPr>
            <xdr:cNvPr id="5145" name="Drop Down 25" hidden="1">
              <a:extLst>
                <a:ext uri="{63B3BB69-23CF-44E3-9099-C40C66FF867C}">
                  <a14:compatExt spid="_x0000_s5145"/>
                </a:ext>
              </a:extLst>
            </xdr:cNvPr>
            <xdr:cNvSpPr/>
          </xdr:nvSpPr>
          <xdr:spPr>
            <a:xfrm>
              <a:off x="0" y="0"/>
              <a:ext cx="0" cy="0"/>
            </a:xfrm>
            <a:prstGeom prst="rect">
              <a:avLst/>
            </a:prstGeom>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1912833" name="Drop Down 1" hidden="1">
              <a:extLst>
                <a:ext uri="{63B3BB69-23CF-44E3-9099-C40C66FF867C}">
                  <a14:compatExt spid="_x0000_s19128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1912834" name="Drop Down 2" hidden="1">
              <a:extLst>
                <a:ext uri="{63B3BB69-23CF-44E3-9099-C40C66FF867C}">
                  <a14:compatExt spid="_x0000_s191283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1912835" name="Drop Down 3" hidden="1">
              <a:extLst>
                <a:ext uri="{63B3BB69-23CF-44E3-9099-C40C66FF867C}">
                  <a14:compatExt spid="_x0000_s19128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1912836" name="Drop Down 4" hidden="1">
              <a:extLst>
                <a:ext uri="{63B3BB69-23CF-44E3-9099-C40C66FF867C}">
                  <a14:compatExt spid="_x0000_s191283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1912837" name="Drop Down 5" hidden="1">
              <a:extLst>
                <a:ext uri="{63B3BB69-23CF-44E3-9099-C40C66FF867C}">
                  <a14:compatExt spid="_x0000_s1912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1912838" name="Drop Down 6" hidden="1">
              <a:extLst>
                <a:ext uri="{63B3BB69-23CF-44E3-9099-C40C66FF867C}">
                  <a14:compatExt spid="_x0000_s1912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1912839" name="Drop Down 7" hidden="1">
              <a:extLst>
                <a:ext uri="{63B3BB69-23CF-44E3-9099-C40C66FF867C}">
                  <a14:compatExt spid="_x0000_s1912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1912840" name="Drop Down 8" hidden="1">
              <a:extLst>
                <a:ext uri="{63B3BB69-23CF-44E3-9099-C40C66FF867C}">
                  <a14:compatExt spid="_x0000_s1912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1912841" name="Drop Down 9" hidden="1">
              <a:extLst>
                <a:ext uri="{63B3BB69-23CF-44E3-9099-C40C66FF867C}">
                  <a14:compatExt spid="_x0000_s1912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1912842" name="Drop Down 10" hidden="1">
              <a:extLst>
                <a:ext uri="{63B3BB69-23CF-44E3-9099-C40C66FF867C}">
                  <a14:compatExt spid="_x0000_s1912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1912843" name="Drop Down 11" hidden="1">
              <a:extLst>
                <a:ext uri="{63B3BB69-23CF-44E3-9099-C40C66FF867C}">
                  <a14:compatExt spid="_x0000_s1912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1912844" name="Drop Down 12" hidden="1">
              <a:extLst>
                <a:ext uri="{63B3BB69-23CF-44E3-9099-C40C66FF867C}">
                  <a14:compatExt spid="_x0000_s1912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1912845" name="Drop Down 13" hidden="1">
              <a:extLst>
                <a:ext uri="{63B3BB69-23CF-44E3-9099-C40C66FF867C}">
                  <a14:compatExt spid="_x0000_s1912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1912846" name="Drop Down 14" hidden="1">
              <a:extLst>
                <a:ext uri="{63B3BB69-23CF-44E3-9099-C40C66FF867C}">
                  <a14:compatExt spid="_x0000_s1912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1912847" name="Drop Down 15" hidden="1">
              <a:extLst>
                <a:ext uri="{63B3BB69-23CF-44E3-9099-C40C66FF867C}">
                  <a14:compatExt spid="_x0000_s1912847"/>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25879</xdr:colOff>
          <xdr:row>24</xdr:row>
          <xdr:rowOff>189781</xdr:rowOff>
        </xdr:from>
        <xdr:to>
          <xdr:col>9</xdr:col>
          <xdr:colOff>138023</xdr:colOff>
          <xdr:row>25</xdr:row>
          <xdr:rowOff>155275</xdr:rowOff>
        </xdr:to>
        <xdr:sp macro="" textlink="">
          <xdr:nvSpPr>
            <xdr:cNvPr id="1912848" name="Drop Down 16" hidden="1">
              <a:extLst>
                <a:ext uri="{63B3BB69-23CF-44E3-9099-C40C66FF867C}">
                  <a14:compatExt spid="_x0000_s1912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27</xdr:row>
          <xdr:rowOff>0</xdr:rowOff>
        </xdr:from>
        <xdr:to>
          <xdr:col>9</xdr:col>
          <xdr:colOff>120770</xdr:colOff>
          <xdr:row>27</xdr:row>
          <xdr:rowOff>172528</xdr:rowOff>
        </xdr:to>
        <xdr:sp macro="" textlink="">
          <xdr:nvSpPr>
            <xdr:cNvPr id="1912849" name="Drop Down 17" hidden="1">
              <a:extLst>
                <a:ext uri="{63B3BB69-23CF-44E3-9099-C40C66FF867C}">
                  <a14:compatExt spid="_x0000_s1912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28</xdr:row>
          <xdr:rowOff>25879</xdr:rowOff>
        </xdr:from>
        <xdr:to>
          <xdr:col>9</xdr:col>
          <xdr:colOff>138023</xdr:colOff>
          <xdr:row>29</xdr:row>
          <xdr:rowOff>0</xdr:rowOff>
        </xdr:to>
        <xdr:sp macro="" textlink="">
          <xdr:nvSpPr>
            <xdr:cNvPr id="1912850" name="Drop Down 18" hidden="1">
              <a:extLst>
                <a:ext uri="{63B3BB69-23CF-44E3-9099-C40C66FF867C}">
                  <a14:compatExt spid="_x0000_s1912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181155</xdr:rowOff>
        </xdr:from>
        <xdr:to>
          <xdr:col>9</xdr:col>
          <xdr:colOff>120770</xdr:colOff>
          <xdr:row>26</xdr:row>
          <xdr:rowOff>155275</xdr:rowOff>
        </xdr:to>
        <xdr:sp macro="" textlink="">
          <xdr:nvSpPr>
            <xdr:cNvPr id="1912851" name="Drop Down 19" hidden="1">
              <a:extLst>
                <a:ext uri="{63B3BB69-23CF-44E3-9099-C40C66FF867C}">
                  <a14:compatExt spid="_x0000_s1912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1912852" name="Drop Down 20" hidden="1">
              <a:extLst>
                <a:ext uri="{63B3BB69-23CF-44E3-9099-C40C66FF867C}">
                  <a14:compatExt spid="_x0000_s1912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1912853" name="Drop Down 21" hidden="1">
              <a:extLst>
                <a:ext uri="{63B3BB69-23CF-44E3-9099-C40C66FF867C}">
                  <a14:compatExt spid="_x0000_s1912853"/>
                </a:ext>
              </a:extLst>
            </xdr:cNvPr>
            <xdr:cNvSpPr/>
          </xdr:nvSpPr>
          <xdr:spPr>
            <a:xfrm>
              <a:off x="0" y="0"/>
              <a:ext cx="0" cy="0"/>
            </a:xfrm>
            <a:prstGeom prst="rect">
              <a:avLst/>
            </a:prstGeom>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38785" name="Drop Down 1" hidden="1">
              <a:extLst>
                <a:ext uri="{63B3BB69-23CF-44E3-9099-C40C66FF867C}">
                  <a14:compatExt spid="_x0000_s20387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38786" name="Drop Down 2" hidden="1">
              <a:extLst>
                <a:ext uri="{63B3BB69-23CF-44E3-9099-C40C66FF867C}">
                  <a14:compatExt spid="_x0000_s20387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38787" name="Drop Down 3" hidden="1">
              <a:extLst>
                <a:ext uri="{63B3BB69-23CF-44E3-9099-C40C66FF867C}">
                  <a14:compatExt spid="_x0000_s20387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38788" name="Drop Down 4" hidden="1">
              <a:extLst>
                <a:ext uri="{63B3BB69-23CF-44E3-9099-C40C66FF867C}">
                  <a14:compatExt spid="_x0000_s20387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038789" name="Drop Down 5" hidden="1">
              <a:extLst>
                <a:ext uri="{63B3BB69-23CF-44E3-9099-C40C66FF867C}">
                  <a14:compatExt spid="_x0000_s203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38790" name="Drop Down 6" hidden="1">
              <a:extLst>
                <a:ext uri="{63B3BB69-23CF-44E3-9099-C40C66FF867C}">
                  <a14:compatExt spid="_x0000_s203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38791" name="Drop Down 7" hidden="1">
              <a:extLst>
                <a:ext uri="{63B3BB69-23CF-44E3-9099-C40C66FF867C}">
                  <a14:compatExt spid="_x0000_s203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38792" name="Drop Down 8" hidden="1">
              <a:extLst>
                <a:ext uri="{63B3BB69-23CF-44E3-9099-C40C66FF867C}">
                  <a14:compatExt spid="_x0000_s203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038793" name="Drop Down 9" hidden="1">
              <a:extLst>
                <a:ext uri="{63B3BB69-23CF-44E3-9099-C40C66FF867C}">
                  <a14:compatExt spid="_x0000_s203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038794" name="Drop Down 10" hidden="1">
              <a:extLst>
                <a:ext uri="{63B3BB69-23CF-44E3-9099-C40C66FF867C}">
                  <a14:compatExt spid="_x0000_s203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038795" name="Drop Down 11" hidden="1">
              <a:extLst>
                <a:ext uri="{63B3BB69-23CF-44E3-9099-C40C66FF867C}">
                  <a14:compatExt spid="_x0000_s203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038796" name="Drop Down 12" hidden="1">
              <a:extLst>
                <a:ext uri="{63B3BB69-23CF-44E3-9099-C40C66FF867C}">
                  <a14:compatExt spid="_x0000_s203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038797" name="Drop Down 13" hidden="1">
              <a:extLst>
                <a:ext uri="{63B3BB69-23CF-44E3-9099-C40C66FF867C}">
                  <a14:compatExt spid="_x0000_s203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038798" name="Drop Down 14" hidden="1">
              <a:extLst>
                <a:ext uri="{63B3BB69-23CF-44E3-9099-C40C66FF867C}">
                  <a14:compatExt spid="_x0000_s203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038799" name="Drop Down 15" hidden="1">
              <a:extLst>
                <a:ext uri="{63B3BB69-23CF-44E3-9099-C40C66FF867C}">
                  <a14:compatExt spid="_x0000_s2038799"/>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38800" name="Drop Down 16" hidden="1">
              <a:extLst>
                <a:ext uri="{63B3BB69-23CF-44E3-9099-C40C66FF867C}">
                  <a14:compatExt spid="_x0000_s203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38801" name="Drop Down 17" hidden="1">
              <a:extLst>
                <a:ext uri="{63B3BB69-23CF-44E3-9099-C40C66FF867C}">
                  <a14:compatExt spid="_x0000_s203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38802" name="Drop Down 18" hidden="1">
              <a:extLst>
                <a:ext uri="{63B3BB69-23CF-44E3-9099-C40C66FF867C}">
                  <a14:compatExt spid="_x0000_s203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38803" name="Drop Down 19" hidden="1">
              <a:extLst>
                <a:ext uri="{63B3BB69-23CF-44E3-9099-C40C66FF867C}">
                  <a14:compatExt spid="_x0000_s203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38804" name="Drop Down 20" hidden="1">
              <a:extLst>
                <a:ext uri="{63B3BB69-23CF-44E3-9099-C40C66FF867C}">
                  <a14:compatExt spid="_x0000_s203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38805" name="Drop Down 21" hidden="1">
              <a:extLst>
                <a:ext uri="{63B3BB69-23CF-44E3-9099-C40C66FF867C}">
                  <a14:compatExt spid="_x0000_s2038805"/>
                </a:ext>
              </a:extLst>
            </xdr:cNvPr>
            <xdr:cNvSpPr/>
          </xdr:nvSpPr>
          <xdr:spPr>
            <a:xfrm>
              <a:off x="0" y="0"/>
              <a:ext cx="0" cy="0"/>
            </a:xfrm>
            <a:prstGeom prst="rect">
              <a:avLst/>
            </a:prstGeom>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40833" name="Drop Down 1" hidden="1">
              <a:extLst>
                <a:ext uri="{63B3BB69-23CF-44E3-9099-C40C66FF867C}">
                  <a14:compatExt spid="_x0000_s20408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40834" name="Drop Down 2" hidden="1">
              <a:extLst>
                <a:ext uri="{63B3BB69-23CF-44E3-9099-C40C66FF867C}">
                  <a14:compatExt spid="_x0000_s204083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40835" name="Drop Down 3" hidden="1">
              <a:extLst>
                <a:ext uri="{63B3BB69-23CF-44E3-9099-C40C66FF867C}">
                  <a14:compatExt spid="_x0000_s204083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40836" name="Drop Down 4" hidden="1">
              <a:extLst>
                <a:ext uri="{63B3BB69-23CF-44E3-9099-C40C66FF867C}">
                  <a14:compatExt spid="_x0000_s204083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040837" name="Drop Down 5" hidden="1">
              <a:extLst>
                <a:ext uri="{63B3BB69-23CF-44E3-9099-C40C66FF867C}">
                  <a14:compatExt spid="_x0000_s2040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40838" name="Drop Down 6" hidden="1">
              <a:extLst>
                <a:ext uri="{63B3BB69-23CF-44E3-9099-C40C66FF867C}">
                  <a14:compatExt spid="_x0000_s204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40839" name="Drop Down 7" hidden="1">
              <a:extLst>
                <a:ext uri="{63B3BB69-23CF-44E3-9099-C40C66FF867C}">
                  <a14:compatExt spid="_x0000_s204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40840" name="Drop Down 8" hidden="1">
              <a:extLst>
                <a:ext uri="{63B3BB69-23CF-44E3-9099-C40C66FF867C}">
                  <a14:compatExt spid="_x0000_s2040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040841" name="Drop Down 9" hidden="1">
              <a:extLst>
                <a:ext uri="{63B3BB69-23CF-44E3-9099-C40C66FF867C}">
                  <a14:compatExt spid="_x0000_s2040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040842" name="Drop Down 10" hidden="1">
              <a:extLst>
                <a:ext uri="{63B3BB69-23CF-44E3-9099-C40C66FF867C}">
                  <a14:compatExt spid="_x0000_s2040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040843" name="Drop Down 11" hidden="1">
              <a:extLst>
                <a:ext uri="{63B3BB69-23CF-44E3-9099-C40C66FF867C}">
                  <a14:compatExt spid="_x0000_s2040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040844" name="Drop Down 12" hidden="1">
              <a:extLst>
                <a:ext uri="{63B3BB69-23CF-44E3-9099-C40C66FF867C}">
                  <a14:compatExt spid="_x0000_s2040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040845" name="Drop Down 13" hidden="1">
              <a:extLst>
                <a:ext uri="{63B3BB69-23CF-44E3-9099-C40C66FF867C}">
                  <a14:compatExt spid="_x0000_s2040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040846" name="Drop Down 14" hidden="1">
              <a:extLst>
                <a:ext uri="{63B3BB69-23CF-44E3-9099-C40C66FF867C}">
                  <a14:compatExt spid="_x0000_s2040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040847" name="Drop Down 15" hidden="1">
              <a:extLst>
                <a:ext uri="{63B3BB69-23CF-44E3-9099-C40C66FF867C}">
                  <a14:compatExt spid="_x0000_s2040847"/>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40848" name="Drop Down 16" hidden="1">
              <a:extLst>
                <a:ext uri="{63B3BB69-23CF-44E3-9099-C40C66FF867C}">
                  <a14:compatExt spid="_x0000_s2040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40849" name="Drop Down 17" hidden="1">
              <a:extLst>
                <a:ext uri="{63B3BB69-23CF-44E3-9099-C40C66FF867C}">
                  <a14:compatExt spid="_x0000_s2040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40850" name="Drop Down 18" hidden="1">
              <a:extLst>
                <a:ext uri="{63B3BB69-23CF-44E3-9099-C40C66FF867C}">
                  <a14:compatExt spid="_x0000_s2040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40851" name="Drop Down 19" hidden="1">
              <a:extLst>
                <a:ext uri="{63B3BB69-23CF-44E3-9099-C40C66FF867C}">
                  <a14:compatExt spid="_x0000_s2040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40852" name="Drop Down 20" hidden="1">
              <a:extLst>
                <a:ext uri="{63B3BB69-23CF-44E3-9099-C40C66FF867C}">
                  <a14:compatExt spid="_x0000_s2040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40853" name="Drop Down 21" hidden="1">
              <a:extLst>
                <a:ext uri="{63B3BB69-23CF-44E3-9099-C40C66FF867C}">
                  <a14:compatExt spid="_x0000_s2040853"/>
                </a:ext>
              </a:extLst>
            </xdr:cNvPr>
            <xdr:cNvSpPr/>
          </xdr:nvSpPr>
          <xdr:spPr>
            <a:xfrm>
              <a:off x="0" y="0"/>
              <a:ext cx="0" cy="0"/>
            </a:xfrm>
            <a:prstGeom prst="rect">
              <a:avLst/>
            </a:prstGeom>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42881" name="Drop Down 1" hidden="1">
              <a:extLst>
                <a:ext uri="{63B3BB69-23CF-44E3-9099-C40C66FF867C}">
                  <a14:compatExt spid="_x0000_s20428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42882" name="Drop Down 2" hidden="1">
              <a:extLst>
                <a:ext uri="{63B3BB69-23CF-44E3-9099-C40C66FF867C}">
                  <a14:compatExt spid="_x0000_s20428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42883" name="Drop Down 3" hidden="1">
              <a:extLst>
                <a:ext uri="{63B3BB69-23CF-44E3-9099-C40C66FF867C}">
                  <a14:compatExt spid="_x0000_s20428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42884" name="Drop Down 4" hidden="1">
              <a:extLst>
                <a:ext uri="{63B3BB69-23CF-44E3-9099-C40C66FF867C}">
                  <a14:compatExt spid="_x0000_s20428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042885" name="Drop Down 5" hidden="1">
              <a:extLst>
                <a:ext uri="{63B3BB69-23CF-44E3-9099-C40C66FF867C}">
                  <a14:compatExt spid="_x0000_s2042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42886" name="Drop Down 6" hidden="1">
              <a:extLst>
                <a:ext uri="{63B3BB69-23CF-44E3-9099-C40C66FF867C}">
                  <a14:compatExt spid="_x0000_s2042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42887" name="Drop Down 7" hidden="1">
              <a:extLst>
                <a:ext uri="{63B3BB69-23CF-44E3-9099-C40C66FF867C}">
                  <a14:compatExt spid="_x0000_s2042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42888" name="Drop Down 8" hidden="1">
              <a:extLst>
                <a:ext uri="{63B3BB69-23CF-44E3-9099-C40C66FF867C}">
                  <a14:compatExt spid="_x0000_s2042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042889" name="Drop Down 9" hidden="1">
              <a:extLst>
                <a:ext uri="{63B3BB69-23CF-44E3-9099-C40C66FF867C}">
                  <a14:compatExt spid="_x0000_s2042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042890" name="Drop Down 10" hidden="1">
              <a:extLst>
                <a:ext uri="{63B3BB69-23CF-44E3-9099-C40C66FF867C}">
                  <a14:compatExt spid="_x0000_s2042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042891" name="Drop Down 11" hidden="1">
              <a:extLst>
                <a:ext uri="{63B3BB69-23CF-44E3-9099-C40C66FF867C}">
                  <a14:compatExt spid="_x0000_s2042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042892" name="Drop Down 12" hidden="1">
              <a:extLst>
                <a:ext uri="{63B3BB69-23CF-44E3-9099-C40C66FF867C}">
                  <a14:compatExt spid="_x0000_s2042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042893" name="Drop Down 13" hidden="1">
              <a:extLst>
                <a:ext uri="{63B3BB69-23CF-44E3-9099-C40C66FF867C}">
                  <a14:compatExt spid="_x0000_s2042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042894" name="Drop Down 14" hidden="1">
              <a:extLst>
                <a:ext uri="{63B3BB69-23CF-44E3-9099-C40C66FF867C}">
                  <a14:compatExt spid="_x0000_s2042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042895" name="Drop Down 15" hidden="1">
              <a:extLst>
                <a:ext uri="{63B3BB69-23CF-44E3-9099-C40C66FF867C}">
                  <a14:compatExt spid="_x0000_s2042895"/>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42896" name="Drop Down 16" hidden="1">
              <a:extLst>
                <a:ext uri="{63B3BB69-23CF-44E3-9099-C40C66FF867C}">
                  <a14:compatExt spid="_x0000_s2042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42897" name="Drop Down 17" hidden="1">
              <a:extLst>
                <a:ext uri="{63B3BB69-23CF-44E3-9099-C40C66FF867C}">
                  <a14:compatExt spid="_x0000_s2042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42898" name="Drop Down 18" hidden="1">
              <a:extLst>
                <a:ext uri="{63B3BB69-23CF-44E3-9099-C40C66FF867C}">
                  <a14:compatExt spid="_x0000_s2042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42899" name="Drop Down 19" hidden="1">
              <a:extLst>
                <a:ext uri="{63B3BB69-23CF-44E3-9099-C40C66FF867C}">
                  <a14:compatExt spid="_x0000_s2042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42900" name="Drop Down 20" hidden="1">
              <a:extLst>
                <a:ext uri="{63B3BB69-23CF-44E3-9099-C40C66FF867C}">
                  <a14:compatExt spid="_x0000_s2042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42901" name="Drop Down 21" hidden="1">
              <a:extLst>
                <a:ext uri="{63B3BB69-23CF-44E3-9099-C40C66FF867C}">
                  <a14:compatExt spid="_x0000_s2042901"/>
                </a:ext>
              </a:extLst>
            </xdr:cNvPr>
            <xdr:cNvSpPr/>
          </xdr:nvSpPr>
          <xdr:spPr>
            <a:xfrm>
              <a:off x="0" y="0"/>
              <a:ext cx="0" cy="0"/>
            </a:xfrm>
            <a:prstGeom prst="rect">
              <a:avLst/>
            </a:prstGeom>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44929" name="Drop Down 1" hidden="1">
              <a:extLst>
                <a:ext uri="{63B3BB69-23CF-44E3-9099-C40C66FF867C}">
                  <a14:compatExt spid="_x0000_s20449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44930" name="Drop Down 2" hidden="1">
              <a:extLst>
                <a:ext uri="{63B3BB69-23CF-44E3-9099-C40C66FF867C}">
                  <a14:compatExt spid="_x0000_s204493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44931" name="Drop Down 3" hidden="1">
              <a:extLst>
                <a:ext uri="{63B3BB69-23CF-44E3-9099-C40C66FF867C}">
                  <a14:compatExt spid="_x0000_s20449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44932" name="Drop Down 4" hidden="1">
              <a:extLst>
                <a:ext uri="{63B3BB69-23CF-44E3-9099-C40C66FF867C}">
                  <a14:compatExt spid="_x0000_s204493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044933" name="Drop Down 5" hidden="1">
              <a:extLst>
                <a:ext uri="{63B3BB69-23CF-44E3-9099-C40C66FF867C}">
                  <a14:compatExt spid="_x0000_s2044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44934" name="Drop Down 6" hidden="1">
              <a:extLst>
                <a:ext uri="{63B3BB69-23CF-44E3-9099-C40C66FF867C}">
                  <a14:compatExt spid="_x0000_s2044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44935" name="Drop Down 7" hidden="1">
              <a:extLst>
                <a:ext uri="{63B3BB69-23CF-44E3-9099-C40C66FF867C}">
                  <a14:compatExt spid="_x0000_s2044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44936" name="Drop Down 8" hidden="1">
              <a:extLst>
                <a:ext uri="{63B3BB69-23CF-44E3-9099-C40C66FF867C}">
                  <a14:compatExt spid="_x0000_s2044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044937" name="Drop Down 9" hidden="1">
              <a:extLst>
                <a:ext uri="{63B3BB69-23CF-44E3-9099-C40C66FF867C}">
                  <a14:compatExt spid="_x0000_s2044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044938" name="Drop Down 10" hidden="1">
              <a:extLst>
                <a:ext uri="{63B3BB69-23CF-44E3-9099-C40C66FF867C}">
                  <a14:compatExt spid="_x0000_s2044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044939" name="Drop Down 11" hidden="1">
              <a:extLst>
                <a:ext uri="{63B3BB69-23CF-44E3-9099-C40C66FF867C}">
                  <a14:compatExt spid="_x0000_s2044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044940" name="Drop Down 12" hidden="1">
              <a:extLst>
                <a:ext uri="{63B3BB69-23CF-44E3-9099-C40C66FF867C}">
                  <a14:compatExt spid="_x0000_s2044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044941" name="Drop Down 13" hidden="1">
              <a:extLst>
                <a:ext uri="{63B3BB69-23CF-44E3-9099-C40C66FF867C}">
                  <a14:compatExt spid="_x0000_s2044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044942" name="Drop Down 14" hidden="1">
              <a:extLst>
                <a:ext uri="{63B3BB69-23CF-44E3-9099-C40C66FF867C}">
                  <a14:compatExt spid="_x0000_s2044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044943" name="Drop Down 15" hidden="1">
              <a:extLst>
                <a:ext uri="{63B3BB69-23CF-44E3-9099-C40C66FF867C}">
                  <a14:compatExt spid="_x0000_s2044943"/>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44944" name="Drop Down 16" hidden="1">
              <a:extLst>
                <a:ext uri="{63B3BB69-23CF-44E3-9099-C40C66FF867C}">
                  <a14:compatExt spid="_x0000_s2044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44945" name="Drop Down 17" hidden="1">
              <a:extLst>
                <a:ext uri="{63B3BB69-23CF-44E3-9099-C40C66FF867C}">
                  <a14:compatExt spid="_x0000_s2044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44946" name="Drop Down 18" hidden="1">
              <a:extLst>
                <a:ext uri="{63B3BB69-23CF-44E3-9099-C40C66FF867C}">
                  <a14:compatExt spid="_x0000_s2044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44947" name="Drop Down 19" hidden="1">
              <a:extLst>
                <a:ext uri="{63B3BB69-23CF-44E3-9099-C40C66FF867C}">
                  <a14:compatExt spid="_x0000_s2044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44948" name="Drop Down 20" hidden="1">
              <a:extLst>
                <a:ext uri="{63B3BB69-23CF-44E3-9099-C40C66FF867C}">
                  <a14:compatExt spid="_x0000_s2044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44949" name="Drop Down 21" hidden="1">
              <a:extLst>
                <a:ext uri="{63B3BB69-23CF-44E3-9099-C40C66FF867C}">
                  <a14:compatExt spid="_x0000_s2044949"/>
                </a:ext>
              </a:extLst>
            </xdr:cNvPr>
            <xdr:cNvSpPr/>
          </xdr:nvSpPr>
          <xdr:spPr>
            <a:xfrm>
              <a:off x="0" y="0"/>
              <a:ext cx="0" cy="0"/>
            </a:xfrm>
            <a:prstGeom prst="rect">
              <a:avLst/>
            </a:prstGeom>
          </xdr:spPr>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45953" name="Drop Down 1" hidden="1">
              <a:extLst>
                <a:ext uri="{63B3BB69-23CF-44E3-9099-C40C66FF867C}">
                  <a14:compatExt spid="_x0000_s204595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45954" name="Drop Down 2" hidden="1">
              <a:extLst>
                <a:ext uri="{63B3BB69-23CF-44E3-9099-C40C66FF867C}">
                  <a14:compatExt spid="_x0000_s20459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45955" name="Drop Down 3" hidden="1">
              <a:extLst>
                <a:ext uri="{63B3BB69-23CF-44E3-9099-C40C66FF867C}">
                  <a14:compatExt spid="_x0000_s20459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45956" name="Drop Down 4" hidden="1">
              <a:extLst>
                <a:ext uri="{63B3BB69-23CF-44E3-9099-C40C66FF867C}">
                  <a14:compatExt spid="_x0000_s20459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629728</xdr:colOff>
          <xdr:row>45</xdr:row>
          <xdr:rowOff>181155</xdr:rowOff>
        </xdr:to>
        <xdr:sp macro="" textlink="">
          <xdr:nvSpPr>
            <xdr:cNvPr id="2045957" name="Drop Down 5" hidden="1">
              <a:extLst>
                <a:ext uri="{63B3BB69-23CF-44E3-9099-C40C66FF867C}">
                  <a14:compatExt spid="_x0000_s2045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45958" name="Drop Down 6" hidden="1">
              <a:extLst>
                <a:ext uri="{63B3BB69-23CF-44E3-9099-C40C66FF867C}">
                  <a14:compatExt spid="_x0000_s2045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45959" name="Drop Down 7" hidden="1">
              <a:extLst>
                <a:ext uri="{63B3BB69-23CF-44E3-9099-C40C66FF867C}">
                  <a14:compatExt spid="_x0000_s2045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45960" name="Drop Down 8" hidden="1">
              <a:extLst>
                <a:ext uri="{63B3BB69-23CF-44E3-9099-C40C66FF867C}">
                  <a14:compatExt spid="_x0000_s2045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612475</xdr:colOff>
          <xdr:row>50</xdr:row>
          <xdr:rowOff>43132</xdr:rowOff>
        </xdr:to>
        <xdr:sp macro="" textlink="">
          <xdr:nvSpPr>
            <xdr:cNvPr id="2045961" name="Drop Down 9" hidden="1">
              <a:extLst>
                <a:ext uri="{63B3BB69-23CF-44E3-9099-C40C66FF867C}">
                  <a14:compatExt spid="_x0000_s2045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612475</xdr:colOff>
          <xdr:row>51</xdr:row>
          <xdr:rowOff>43132</xdr:rowOff>
        </xdr:to>
        <xdr:sp macro="" textlink="">
          <xdr:nvSpPr>
            <xdr:cNvPr id="2045962" name="Drop Down 10" hidden="1">
              <a:extLst>
                <a:ext uri="{63B3BB69-23CF-44E3-9099-C40C66FF867C}">
                  <a14:compatExt spid="_x0000_s2045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612475</xdr:colOff>
          <xdr:row>52</xdr:row>
          <xdr:rowOff>25879</xdr:rowOff>
        </xdr:to>
        <xdr:sp macro="" textlink="">
          <xdr:nvSpPr>
            <xdr:cNvPr id="2045963" name="Drop Down 11" hidden="1">
              <a:extLst>
                <a:ext uri="{63B3BB69-23CF-44E3-9099-C40C66FF867C}">
                  <a14:compatExt spid="_x0000_s2045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629728</xdr:colOff>
          <xdr:row>53</xdr:row>
          <xdr:rowOff>25879</xdr:rowOff>
        </xdr:to>
        <xdr:sp macro="" textlink="">
          <xdr:nvSpPr>
            <xdr:cNvPr id="2045964" name="Drop Down 12" hidden="1">
              <a:extLst>
                <a:ext uri="{63B3BB69-23CF-44E3-9099-C40C66FF867C}">
                  <a14:compatExt spid="_x0000_s2045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629728</xdr:colOff>
          <xdr:row>54</xdr:row>
          <xdr:rowOff>8626</xdr:rowOff>
        </xdr:to>
        <xdr:sp macro="" textlink="">
          <xdr:nvSpPr>
            <xdr:cNvPr id="2045965" name="Drop Down 13" hidden="1">
              <a:extLst>
                <a:ext uri="{63B3BB69-23CF-44E3-9099-C40C66FF867C}">
                  <a14:compatExt spid="_x0000_s2045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629728</xdr:colOff>
          <xdr:row>55</xdr:row>
          <xdr:rowOff>25879</xdr:rowOff>
        </xdr:to>
        <xdr:sp macro="" textlink="">
          <xdr:nvSpPr>
            <xdr:cNvPr id="2045966" name="Drop Down 14" hidden="1">
              <a:extLst>
                <a:ext uri="{63B3BB69-23CF-44E3-9099-C40C66FF867C}">
                  <a14:compatExt spid="_x0000_s2045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629728</xdr:colOff>
          <xdr:row>56</xdr:row>
          <xdr:rowOff>8626</xdr:rowOff>
        </xdr:to>
        <xdr:sp macro="" textlink="">
          <xdr:nvSpPr>
            <xdr:cNvPr id="2045967" name="Drop Down 15" hidden="1">
              <a:extLst>
                <a:ext uri="{63B3BB69-23CF-44E3-9099-C40C66FF867C}">
                  <a14:compatExt spid="_x0000_s2045967"/>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45968" name="Drop Down 16" hidden="1">
              <a:extLst>
                <a:ext uri="{63B3BB69-23CF-44E3-9099-C40C66FF867C}">
                  <a14:compatExt spid="_x0000_s2045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45969" name="Drop Down 17" hidden="1">
              <a:extLst>
                <a:ext uri="{63B3BB69-23CF-44E3-9099-C40C66FF867C}">
                  <a14:compatExt spid="_x0000_s2045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45970" name="Drop Down 18" hidden="1">
              <a:extLst>
                <a:ext uri="{63B3BB69-23CF-44E3-9099-C40C66FF867C}">
                  <a14:compatExt spid="_x0000_s2045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45971" name="Drop Down 19" hidden="1">
              <a:extLst>
                <a:ext uri="{63B3BB69-23CF-44E3-9099-C40C66FF867C}">
                  <a14:compatExt spid="_x0000_s2045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45972" name="Drop Down 20" hidden="1">
              <a:extLst>
                <a:ext uri="{63B3BB69-23CF-44E3-9099-C40C66FF867C}">
                  <a14:compatExt spid="_x0000_s2045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45973" name="Drop Down 21" hidden="1">
              <a:extLst>
                <a:ext uri="{63B3BB69-23CF-44E3-9099-C40C66FF867C}">
                  <a14:compatExt spid="_x0000_s2045973"/>
                </a:ext>
              </a:extLst>
            </xdr:cNvPr>
            <xdr:cNvSpPr/>
          </xdr:nvSpPr>
          <xdr:spPr>
            <a:xfrm>
              <a:off x="0" y="0"/>
              <a:ext cx="0" cy="0"/>
            </a:xfrm>
            <a:prstGeom prst="rect">
              <a:avLst/>
            </a:prstGeom>
          </xdr:spPr>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049025" name="Drop Down 1" hidden="1">
              <a:extLst>
                <a:ext uri="{63B3BB69-23CF-44E3-9099-C40C66FF867C}">
                  <a14:compatExt spid="_x0000_s20490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049026" name="Drop Down 2" hidden="1">
              <a:extLst>
                <a:ext uri="{63B3BB69-23CF-44E3-9099-C40C66FF867C}">
                  <a14:compatExt spid="_x0000_s204902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049027" name="Drop Down 3" hidden="1">
              <a:extLst>
                <a:ext uri="{63B3BB69-23CF-44E3-9099-C40C66FF867C}">
                  <a14:compatExt spid="_x0000_s20490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049028" name="Drop Down 4" hidden="1">
              <a:extLst>
                <a:ext uri="{63B3BB69-23CF-44E3-9099-C40C66FF867C}">
                  <a14:compatExt spid="_x0000_s20490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049029" name="Drop Down 5" hidden="1">
              <a:extLst>
                <a:ext uri="{63B3BB69-23CF-44E3-9099-C40C66FF867C}">
                  <a14:compatExt spid="_x0000_s204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049030" name="Drop Down 6" hidden="1">
              <a:extLst>
                <a:ext uri="{63B3BB69-23CF-44E3-9099-C40C66FF867C}">
                  <a14:compatExt spid="_x0000_s204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049031" name="Drop Down 7" hidden="1">
              <a:extLst>
                <a:ext uri="{63B3BB69-23CF-44E3-9099-C40C66FF867C}">
                  <a14:compatExt spid="_x0000_s204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049032" name="Drop Down 8" hidden="1">
              <a:extLst>
                <a:ext uri="{63B3BB69-23CF-44E3-9099-C40C66FF867C}">
                  <a14:compatExt spid="_x0000_s204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049033" name="Drop Down 9" hidden="1">
              <a:extLst>
                <a:ext uri="{63B3BB69-23CF-44E3-9099-C40C66FF867C}">
                  <a14:compatExt spid="_x0000_s204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049034" name="Drop Down 10" hidden="1">
              <a:extLst>
                <a:ext uri="{63B3BB69-23CF-44E3-9099-C40C66FF867C}">
                  <a14:compatExt spid="_x0000_s204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049035" name="Drop Down 11" hidden="1">
              <a:extLst>
                <a:ext uri="{63B3BB69-23CF-44E3-9099-C40C66FF867C}">
                  <a14:compatExt spid="_x0000_s204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049036" name="Drop Down 12" hidden="1">
              <a:extLst>
                <a:ext uri="{63B3BB69-23CF-44E3-9099-C40C66FF867C}">
                  <a14:compatExt spid="_x0000_s204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049037" name="Drop Down 13" hidden="1">
              <a:extLst>
                <a:ext uri="{63B3BB69-23CF-44E3-9099-C40C66FF867C}">
                  <a14:compatExt spid="_x0000_s204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049038" name="Drop Down 14" hidden="1">
              <a:extLst>
                <a:ext uri="{63B3BB69-23CF-44E3-9099-C40C66FF867C}">
                  <a14:compatExt spid="_x0000_s204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049039" name="Drop Down 15" hidden="1">
              <a:extLst>
                <a:ext uri="{63B3BB69-23CF-44E3-9099-C40C66FF867C}">
                  <a14:compatExt spid="_x0000_s2049039"/>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049040" name="Drop Down 16" hidden="1">
              <a:extLst>
                <a:ext uri="{63B3BB69-23CF-44E3-9099-C40C66FF867C}">
                  <a14:compatExt spid="_x0000_s204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049041" name="Drop Down 17" hidden="1">
              <a:extLst>
                <a:ext uri="{63B3BB69-23CF-44E3-9099-C40C66FF867C}">
                  <a14:compatExt spid="_x0000_s204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049042" name="Drop Down 18" hidden="1">
              <a:extLst>
                <a:ext uri="{63B3BB69-23CF-44E3-9099-C40C66FF867C}">
                  <a14:compatExt spid="_x0000_s204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049043" name="Drop Down 19" hidden="1">
              <a:extLst>
                <a:ext uri="{63B3BB69-23CF-44E3-9099-C40C66FF867C}">
                  <a14:compatExt spid="_x0000_s204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049044" name="Drop Down 20" hidden="1">
              <a:extLst>
                <a:ext uri="{63B3BB69-23CF-44E3-9099-C40C66FF867C}">
                  <a14:compatExt spid="_x0000_s204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049045" name="Drop Down 21" hidden="1">
              <a:extLst>
                <a:ext uri="{63B3BB69-23CF-44E3-9099-C40C66FF867C}">
                  <a14:compatExt spid="_x0000_s2049045"/>
                </a:ext>
              </a:extLst>
            </xdr:cNvPr>
            <xdr:cNvSpPr/>
          </xdr:nvSpPr>
          <xdr:spPr>
            <a:xfrm>
              <a:off x="0" y="0"/>
              <a:ext cx="0" cy="0"/>
            </a:xfrm>
            <a:prstGeom prst="rect">
              <a:avLst/>
            </a:prstGeom>
          </xdr:spPr>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208769" name="Drop Down 1" hidden="1">
              <a:extLst>
                <a:ext uri="{63B3BB69-23CF-44E3-9099-C40C66FF867C}">
                  <a14:compatExt spid="_x0000_s22087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208770" name="Drop Down 2" hidden="1">
              <a:extLst>
                <a:ext uri="{63B3BB69-23CF-44E3-9099-C40C66FF867C}">
                  <a14:compatExt spid="_x0000_s22087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208771" name="Drop Down 3" hidden="1">
              <a:extLst>
                <a:ext uri="{63B3BB69-23CF-44E3-9099-C40C66FF867C}">
                  <a14:compatExt spid="_x0000_s22087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208772" name="Drop Down 4" hidden="1">
              <a:extLst>
                <a:ext uri="{63B3BB69-23CF-44E3-9099-C40C66FF867C}">
                  <a14:compatExt spid="_x0000_s220877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208773" name="Drop Down 5" hidden="1">
              <a:extLst>
                <a:ext uri="{63B3BB69-23CF-44E3-9099-C40C66FF867C}">
                  <a14:compatExt spid="_x0000_s220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208774" name="Drop Down 6" hidden="1">
              <a:extLst>
                <a:ext uri="{63B3BB69-23CF-44E3-9099-C40C66FF867C}">
                  <a14:compatExt spid="_x0000_s220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208775" name="Drop Down 7" hidden="1">
              <a:extLst>
                <a:ext uri="{63B3BB69-23CF-44E3-9099-C40C66FF867C}">
                  <a14:compatExt spid="_x0000_s2208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208776" name="Drop Down 8" hidden="1">
              <a:extLst>
                <a:ext uri="{63B3BB69-23CF-44E3-9099-C40C66FF867C}">
                  <a14:compatExt spid="_x0000_s2208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208777" name="Drop Down 9" hidden="1">
              <a:extLst>
                <a:ext uri="{63B3BB69-23CF-44E3-9099-C40C66FF867C}">
                  <a14:compatExt spid="_x0000_s220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208778" name="Drop Down 10" hidden="1">
              <a:extLst>
                <a:ext uri="{63B3BB69-23CF-44E3-9099-C40C66FF867C}">
                  <a14:compatExt spid="_x0000_s220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208779" name="Drop Down 11" hidden="1">
              <a:extLst>
                <a:ext uri="{63B3BB69-23CF-44E3-9099-C40C66FF867C}">
                  <a14:compatExt spid="_x0000_s220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208780" name="Drop Down 12" hidden="1">
              <a:extLst>
                <a:ext uri="{63B3BB69-23CF-44E3-9099-C40C66FF867C}">
                  <a14:compatExt spid="_x0000_s220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208781" name="Drop Down 13" hidden="1">
              <a:extLst>
                <a:ext uri="{63B3BB69-23CF-44E3-9099-C40C66FF867C}">
                  <a14:compatExt spid="_x0000_s220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208782" name="Drop Down 14" hidden="1">
              <a:extLst>
                <a:ext uri="{63B3BB69-23CF-44E3-9099-C40C66FF867C}">
                  <a14:compatExt spid="_x0000_s220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208783" name="Drop Down 15" hidden="1">
              <a:extLst>
                <a:ext uri="{63B3BB69-23CF-44E3-9099-C40C66FF867C}">
                  <a14:compatExt spid="_x0000_s2208783"/>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208784" name="Drop Down 16" hidden="1">
              <a:extLst>
                <a:ext uri="{63B3BB69-23CF-44E3-9099-C40C66FF867C}">
                  <a14:compatExt spid="_x0000_s220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208785" name="Drop Down 17" hidden="1">
              <a:extLst>
                <a:ext uri="{63B3BB69-23CF-44E3-9099-C40C66FF867C}">
                  <a14:compatExt spid="_x0000_s220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208786" name="Drop Down 18" hidden="1">
              <a:extLst>
                <a:ext uri="{63B3BB69-23CF-44E3-9099-C40C66FF867C}">
                  <a14:compatExt spid="_x0000_s220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208787" name="Drop Down 19" hidden="1">
              <a:extLst>
                <a:ext uri="{63B3BB69-23CF-44E3-9099-C40C66FF867C}">
                  <a14:compatExt spid="_x0000_s220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208788" name="Drop Down 20" hidden="1">
              <a:extLst>
                <a:ext uri="{63B3BB69-23CF-44E3-9099-C40C66FF867C}">
                  <a14:compatExt spid="_x0000_s220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208789" name="Drop Down 21" hidden="1">
              <a:extLst>
                <a:ext uri="{63B3BB69-23CF-44E3-9099-C40C66FF867C}">
                  <a14:compatExt spid="_x0000_s2208789"/>
                </a:ext>
              </a:extLst>
            </xdr:cNvPr>
            <xdr:cNvSpPr/>
          </xdr:nvSpPr>
          <xdr:spPr>
            <a:xfrm>
              <a:off x="0" y="0"/>
              <a:ext cx="0" cy="0"/>
            </a:xfrm>
            <a:prstGeom prst="rect">
              <a:avLst/>
            </a:prstGeom>
          </xdr:spPr>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25879</xdr:colOff>
          <xdr:row>4</xdr:row>
          <xdr:rowOff>8626</xdr:rowOff>
        </xdr:from>
        <xdr:to>
          <xdr:col>15</xdr:col>
          <xdr:colOff>8626</xdr:colOff>
          <xdr:row>5</xdr:row>
          <xdr:rowOff>0</xdr:rowOff>
        </xdr:to>
        <xdr:sp macro="" textlink="">
          <xdr:nvSpPr>
            <xdr:cNvPr id="2176001" name="Drop Down 1" hidden="1">
              <a:extLst>
                <a:ext uri="{63B3BB69-23CF-44E3-9099-C40C66FF867C}">
                  <a14:compatExt spid="_x0000_s217600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8626</xdr:colOff>
          <xdr:row>4</xdr:row>
          <xdr:rowOff>8626</xdr:rowOff>
        </xdr:from>
        <xdr:to>
          <xdr:col>14</xdr:col>
          <xdr:colOff>0</xdr:colOff>
          <xdr:row>5</xdr:row>
          <xdr:rowOff>0</xdr:rowOff>
        </xdr:to>
        <xdr:sp macro="" textlink="">
          <xdr:nvSpPr>
            <xdr:cNvPr id="2176002" name="Drop Down 2" hidden="1">
              <a:extLst>
                <a:ext uri="{63B3BB69-23CF-44E3-9099-C40C66FF867C}">
                  <a14:compatExt spid="_x0000_s21760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25879</xdr:colOff>
          <xdr:row>4</xdr:row>
          <xdr:rowOff>8626</xdr:rowOff>
        </xdr:from>
        <xdr:to>
          <xdr:col>16</xdr:col>
          <xdr:colOff>0</xdr:colOff>
          <xdr:row>5</xdr:row>
          <xdr:rowOff>0</xdr:rowOff>
        </xdr:to>
        <xdr:sp macro="" textlink="">
          <xdr:nvSpPr>
            <xdr:cNvPr id="2176003" name="Drop Down 3" hidden="1">
              <a:extLst>
                <a:ext uri="{63B3BB69-23CF-44E3-9099-C40C66FF867C}">
                  <a14:compatExt spid="_x0000_s21760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25879</xdr:colOff>
          <xdr:row>4</xdr:row>
          <xdr:rowOff>8626</xdr:rowOff>
        </xdr:from>
        <xdr:to>
          <xdr:col>17</xdr:col>
          <xdr:colOff>8626</xdr:colOff>
          <xdr:row>5</xdr:row>
          <xdr:rowOff>0</xdr:rowOff>
        </xdr:to>
        <xdr:sp macro="" textlink="">
          <xdr:nvSpPr>
            <xdr:cNvPr id="2176004" name="Drop Down 4" hidden="1">
              <a:extLst>
                <a:ext uri="{63B3BB69-23CF-44E3-9099-C40C66FF867C}">
                  <a14:compatExt spid="_x0000_s21760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45</xdr:row>
          <xdr:rowOff>8626</xdr:rowOff>
        </xdr:from>
        <xdr:to>
          <xdr:col>5</xdr:col>
          <xdr:colOff>603849</xdr:colOff>
          <xdr:row>46</xdr:row>
          <xdr:rowOff>25879</xdr:rowOff>
        </xdr:to>
        <xdr:sp macro="" textlink="">
          <xdr:nvSpPr>
            <xdr:cNvPr id="2176005" name="Drop Down 5" hidden="1">
              <a:extLst>
                <a:ext uri="{63B3BB69-23CF-44E3-9099-C40C66FF867C}">
                  <a14:compatExt spid="_x0000_s2176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46</xdr:row>
          <xdr:rowOff>25879</xdr:rowOff>
        </xdr:from>
        <xdr:to>
          <xdr:col>5</xdr:col>
          <xdr:colOff>603849</xdr:colOff>
          <xdr:row>47</xdr:row>
          <xdr:rowOff>25879</xdr:rowOff>
        </xdr:to>
        <xdr:sp macro="" textlink="">
          <xdr:nvSpPr>
            <xdr:cNvPr id="2176006" name="Drop Down 6" hidden="1">
              <a:extLst>
                <a:ext uri="{63B3BB69-23CF-44E3-9099-C40C66FF867C}">
                  <a14:compatExt spid="_x0000_s2176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47</xdr:row>
          <xdr:rowOff>8626</xdr:rowOff>
        </xdr:from>
        <xdr:to>
          <xdr:col>5</xdr:col>
          <xdr:colOff>603849</xdr:colOff>
          <xdr:row>48</xdr:row>
          <xdr:rowOff>25879</xdr:rowOff>
        </xdr:to>
        <xdr:sp macro="" textlink="">
          <xdr:nvSpPr>
            <xdr:cNvPr id="2176007" name="Drop Down 7" hidden="1">
              <a:extLst>
                <a:ext uri="{63B3BB69-23CF-44E3-9099-C40C66FF867C}">
                  <a14:compatExt spid="_x0000_s2176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48</xdr:row>
          <xdr:rowOff>25879</xdr:rowOff>
        </xdr:from>
        <xdr:to>
          <xdr:col>5</xdr:col>
          <xdr:colOff>603849</xdr:colOff>
          <xdr:row>49</xdr:row>
          <xdr:rowOff>25879</xdr:rowOff>
        </xdr:to>
        <xdr:sp macro="" textlink="">
          <xdr:nvSpPr>
            <xdr:cNvPr id="2176008" name="Drop Down 8" hidden="1">
              <a:extLst>
                <a:ext uri="{63B3BB69-23CF-44E3-9099-C40C66FF867C}">
                  <a14:compatExt spid="_x0000_s2176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49</xdr:row>
          <xdr:rowOff>25879</xdr:rowOff>
        </xdr:from>
        <xdr:to>
          <xdr:col>5</xdr:col>
          <xdr:colOff>603849</xdr:colOff>
          <xdr:row>50</xdr:row>
          <xdr:rowOff>34506</xdr:rowOff>
        </xdr:to>
        <xdr:sp macro="" textlink="">
          <xdr:nvSpPr>
            <xdr:cNvPr id="2176009" name="Drop Down 9" hidden="1">
              <a:extLst>
                <a:ext uri="{63B3BB69-23CF-44E3-9099-C40C66FF867C}">
                  <a14:compatExt spid="_x0000_s2176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50</xdr:row>
          <xdr:rowOff>34506</xdr:rowOff>
        </xdr:from>
        <xdr:to>
          <xdr:col>5</xdr:col>
          <xdr:colOff>603849</xdr:colOff>
          <xdr:row>51</xdr:row>
          <xdr:rowOff>60385</xdr:rowOff>
        </xdr:to>
        <xdr:sp macro="" textlink="">
          <xdr:nvSpPr>
            <xdr:cNvPr id="2176010" name="Drop Down 10" hidden="1">
              <a:extLst>
                <a:ext uri="{63B3BB69-23CF-44E3-9099-C40C66FF867C}">
                  <a14:compatExt spid="_x0000_s2176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51</xdr:row>
          <xdr:rowOff>34506</xdr:rowOff>
        </xdr:from>
        <xdr:to>
          <xdr:col>5</xdr:col>
          <xdr:colOff>603849</xdr:colOff>
          <xdr:row>52</xdr:row>
          <xdr:rowOff>60385</xdr:rowOff>
        </xdr:to>
        <xdr:sp macro="" textlink="">
          <xdr:nvSpPr>
            <xdr:cNvPr id="2176011" name="Drop Down 11" hidden="1">
              <a:extLst>
                <a:ext uri="{63B3BB69-23CF-44E3-9099-C40C66FF867C}">
                  <a14:compatExt spid="_x0000_s2176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52</xdr:row>
          <xdr:rowOff>25879</xdr:rowOff>
        </xdr:from>
        <xdr:to>
          <xdr:col>5</xdr:col>
          <xdr:colOff>603849</xdr:colOff>
          <xdr:row>53</xdr:row>
          <xdr:rowOff>34506</xdr:rowOff>
        </xdr:to>
        <xdr:sp macro="" textlink="">
          <xdr:nvSpPr>
            <xdr:cNvPr id="2176012" name="Drop Down 12" hidden="1">
              <a:extLst>
                <a:ext uri="{63B3BB69-23CF-44E3-9099-C40C66FF867C}">
                  <a14:compatExt spid="_x0000_s2176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53</xdr:row>
          <xdr:rowOff>25879</xdr:rowOff>
        </xdr:from>
        <xdr:to>
          <xdr:col>5</xdr:col>
          <xdr:colOff>603849</xdr:colOff>
          <xdr:row>54</xdr:row>
          <xdr:rowOff>34506</xdr:rowOff>
        </xdr:to>
        <xdr:sp macro="" textlink="">
          <xdr:nvSpPr>
            <xdr:cNvPr id="2176013" name="Drop Down 13" hidden="1">
              <a:extLst>
                <a:ext uri="{63B3BB69-23CF-44E3-9099-C40C66FF867C}">
                  <a14:compatExt spid="_x0000_s2176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34506</xdr:colOff>
          <xdr:row>54</xdr:row>
          <xdr:rowOff>25879</xdr:rowOff>
        </xdr:from>
        <xdr:to>
          <xdr:col>5</xdr:col>
          <xdr:colOff>603849</xdr:colOff>
          <xdr:row>55</xdr:row>
          <xdr:rowOff>34506</xdr:rowOff>
        </xdr:to>
        <xdr:sp macro="" textlink="">
          <xdr:nvSpPr>
            <xdr:cNvPr id="2176014" name="Drop Down 14" hidden="1">
              <a:extLst>
                <a:ext uri="{63B3BB69-23CF-44E3-9099-C40C66FF867C}">
                  <a14:compatExt spid="_x0000_s2176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60385</xdr:colOff>
          <xdr:row>55</xdr:row>
          <xdr:rowOff>8626</xdr:rowOff>
        </xdr:from>
        <xdr:to>
          <xdr:col>5</xdr:col>
          <xdr:colOff>603849</xdr:colOff>
          <xdr:row>56</xdr:row>
          <xdr:rowOff>25879</xdr:rowOff>
        </xdr:to>
        <xdr:sp macro="" textlink="">
          <xdr:nvSpPr>
            <xdr:cNvPr id="2176015" name="Drop Down 15" hidden="1">
              <a:extLst>
                <a:ext uri="{63B3BB69-23CF-44E3-9099-C40C66FF867C}">
                  <a14:compatExt spid="_x0000_s2176015"/>
                </a:ext>
              </a:extLst>
            </xdr:cNvPr>
            <xdr:cNvSpPr/>
          </xdr:nvSpPr>
          <xdr:spPr>
            <a:xfrm>
              <a:off x="0" y="0"/>
              <a:ext cx="0" cy="0"/>
            </a:xfrm>
            <a:prstGeom prst="rect">
              <a:avLst/>
            </a:prstGeom>
          </xdr:spPr>
        </xdr:sp>
        <xdr:clientData/>
      </xdr:twoCellAnchor>
    </mc:Choice>
    <mc:Fallback/>
  </mc:AlternateContent>
  <xdr:twoCellAnchor>
    <xdr:from>
      <xdr:col>17</xdr:col>
      <xdr:colOff>43133</xdr:colOff>
      <xdr:row>4</xdr:row>
      <xdr:rowOff>8627</xdr:rowOff>
    </xdr:from>
    <xdr:to>
      <xdr:col>17</xdr:col>
      <xdr:colOff>1425517</xdr:colOff>
      <xdr:row>17</xdr:row>
      <xdr:rowOff>146650</xdr:rowOff>
    </xdr:to>
    <xdr:sp macro="" textlink="">
      <xdr:nvSpPr>
        <xdr:cNvPr id="17" name="Textfeld 16"/>
        <xdr:cNvSpPr txBox="1"/>
      </xdr:nvSpPr>
      <xdr:spPr>
        <a:xfrm>
          <a:off x="9100869" y="1009291"/>
          <a:ext cx="1382384" cy="2725948"/>
        </a:xfrm>
        <a:prstGeom prst="rect">
          <a:avLst/>
        </a:prstGeom>
        <a:solidFill>
          <a:srgbClr val="FF0000"/>
        </a:solidFill>
        <a:ln w="22225"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Anpassung an Nutzungsverfahren aus dem Drop-Down Feld erfolgt bis Zeile 19</a:t>
          </a:r>
          <a:r>
            <a:rPr lang="de-DE" sz="1200" baseline="0"/>
            <a:t> (Futterlieferung m³ je ha) sowie bei den festen Kosten für Lagerraum/ Trocknung.</a:t>
          </a:r>
        </a:p>
        <a:p>
          <a:r>
            <a:rPr lang="de-DE" sz="1200" baseline="0"/>
            <a:t>Nährstoffeinheite,Maschinen und sonstige Kosten bitte anpassen !</a:t>
          </a:r>
          <a:endParaRPr lang="de-DE" sz="1200"/>
        </a:p>
      </xdr:txBody>
    </xdr:sp>
    <xdr:clientData/>
  </xdr:twoCellAnchor>
  <mc:AlternateContent xmlns:mc="http://schemas.openxmlformats.org/markup-compatibility/2006">
    <mc:Choice xmlns:a14="http://schemas.microsoft.com/office/drawing/2010/main" Requires="a14">
      <xdr:twoCellAnchor editAs="oneCell">
        <xdr:from>
          <xdr:col>3</xdr:col>
          <xdr:colOff>8626</xdr:colOff>
          <xdr:row>24</xdr:row>
          <xdr:rowOff>189781</xdr:rowOff>
        </xdr:from>
        <xdr:to>
          <xdr:col>9</xdr:col>
          <xdr:colOff>112143</xdr:colOff>
          <xdr:row>25</xdr:row>
          <xdr:rowOff>155275</xdr:rowOff>
        </xdr:to>
        <xdr:sp macro="" textlink="">
          <xdr:nvSpPr>
            <xdr:cNvPr id="2176016" name="Drop Down 16" hidden="1">
              <a:extLst>
                <a:ext uri="{63B3BB69-23CF-44E3-9099-C40C66FF867C}">
                  <a14:compatExt spid="_x0000_s2176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26</xdr:row>
          <xdr:rowOff>181155</xdr:rowOff>
        </xdr:from>
        <xdr:to>
          <xdr:col>9</xdr:col>
          <xdr:colOff>120770</xdr:colOff>
          <xdr:row>27</xdr:row>
          <xdr:rowOff>172528</xdr:rowOff>
        </xdr:to>
        <xdr:sp macro="" textlink="">
          <xdr:nvSpPr>
            <xdr:cNvPr id="2176017" name="Drop Down 17" hidden="1">
              <a:extLst>
                <a:ext uri="{63B3BB69-23CF-44E3-9099-C40C66FF867C}">
                  <a14:compatExt spid="_x0000_s2176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9</xdr:col>
          <xdr:colOff>103517</xdr:colOff>
          <xdr:row>28</xdr:row>
          <xdr:rowOff>172528</xdr:rowOff>
        </xdr:to>
        <xdr:sp macro="" textlink="">
          <xdr:nvSpPr>
            <xdr:cNvPr id="2176018" name="Drop Down 18" hidden="1">
              <a:extLst>
                <a:ext uri="{63B3BB69-23CF-44E3-9099-C40C66FF867C}">
                  <a14:compatExt spid="_x0000_s2176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25</xdr:row>
          <xdr:rowOff>172528</xdr:rowOff>
        </xdr:from>
        <xdr:to>
          <xdr:col>9</xdr:col>
          <xdr:colOff>120770</xdr:colOff>
          <xdr:row>26</xdr:row>
          <xdr:rowOff>155275</xdr:rowOff>
        </xdr:to>
        <xdr:sp macro="" textlink="">
          <xdr:nvSpPr>
            <xdr:cNvPr id="2176019" name="Drop Down 19" hidden="1">
              <a:extLst>
                <a:ext uri="{63B3BB69-23CF-44E3-9099-C40C66FF867C}">
                  <a14:compatExt spid="_x0000_s2176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25879</xdr:colOff>
          <xdr:row>29</xdr:row>
          <xdr:rowOff>172528</xdr:rowOff>
        </xdr:from>
        <xdr:to>
          <xdr:col>9</xdr:col>
          <xdr:colOff>138023</xdr:colOff>
          <xdr:row>31</xdr:row>
          <xdr:rowOff>0</xdr:rowOff>
        </xdr:to>
        <xdr:sp macro="" textlink="">
          <xdr:nvSpPr>
            <xdr:cNvPr id="2176020" name="Drop Down 20" hidden="1">
              <a:extLst>
                <a:ext uri="{63B3BB69-23CF-44E3-9099-C40C66FF867C}">
                  <a14:compatExt spid="_x0000_s2176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25879</xdr:colOff>
          <xdr:row>4</xdr:row>
          <xdr:rowOff>8626</xdr:rowOff>
        </xdr:from>
        <xdr:to>
          <xdr:col>13</xdr:col>
          <xdr:colOff>8626</xdr:colOff>
          <xdr:row>5</xdr:row>
          <xdr:rowOff>0</xdr:rowOff>
        </xdr:to>
        <xdr:sp macro="" textlink="">
          <xdr:nvSpPr>
            <xdr:cNvPr id="2176021" name="Drop Down 21" hidden="1">
              <a:extLst>
                <a:ext uri="{63B3BB69-23CF-44E3-9099-C40C66FF867C}">
                  <a14:compatExt spid="_x0000_s2176021"/>
                </a:ext>
              </a:extLst>
            </xdr:cNvPr>
            <xdr:cNvSpPr/>
          </xdr:nvSpPr>
          <xdr:spPr>
            <a:xfrm>
              <a:off x="0" y="0"/>
              <a:ext cx="0" cy="0"/>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60385</xdr:colOff>
          <xdr:row>7</xdr:row>
          <xdr:rowOff>60385</xdr:rowOff>
        </xdr:from>
        <xdr:to>
          <xdr:col>9</xdr:col>
          <xdr:colOff>77638</xdr:colOff>
          <xdr:row>25</xdr:row>
          <xdr:rowOff>69011</xdr:rowOff>
        </xdr:to>
        <xdr:sp macro="" textlink="">
          <xdr:nvSpPr>
            <xdr:cNvPr id="2061" name="Bild 11" hidden="1">
              <a:extLst>
                <a:ext uri="{63B3BB69-23CF-44E3-9099-C40C66FF867C}">
                  <a14:compatExt spid="_x0000_s206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171905" name="Check Box 1" hidden="1">
              <a:extLst>
                <a:ext uri="{63B3BB69-23CF-44E3-9099-C40C66FF867C}">
                  <a14:compatExt spid="_x0000_s21719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171906" name="Check Box 2" hidden="1">
              <a:extLst>
                <a:ext uri="{63B3BB69-23CF-44E3-9099-C40C66FF867C}">
                  <a14:compatExt spid="_x0000_s217190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171907" name="Check Box 3" hidden="1">
              <a:extLst>
                <a:ext uri="{63B3BB69-23CF-44E3-9099-C40C66FF867C}">
                  <a14:compatExt spid="_x0000_s21719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171908" name="Check Box 4" hidden="1">
              <a:extLst>
                <a:ext uri="{63B3BB69-23CF-44E3-9099-C40C66FF867C}">
                  <a14:compatExt spid="_x0000_s217190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171909" name="Check Box 5" hidden="1">
              <a:extLst>
                <a:ext uri="{63B3BB69-23CF-44E3-9099-C40C66FF867C}">
                  <a14:compatExt spid="_x0000_s217190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171910" name="Check Box 6" hidden="1">
              <a:extLst>
                <a:ext uri="{63B3BB69-23CF-44E3-9099-C40C66FF867C}">
                  <a14:compatExt spid="_x0000_s21719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171911" name="Check Box 7" hidden="1">
              <a:extLst>
                <a:ext uri="{63B3BB69-23CF-44E3-9099-C40C66FF867C}">
                  <a14:compatExt spid="_x0000_s21719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171912" name="Check Box 8" hidden="1">
              <a:extLst>
                <a:ext uri="{63B3BB69-23CF-44E3-9099-C40C66FF867C}">
                  <a14:compatExt spid="_x0000_s217191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171913" name="Check Box 9" hidden="1">
              <a:extLst>
                <a:ext uri="{63B3BB69-23CF-44E3-9099-C40C66FF867C}">
                  <a14:compatExt spid="_x0000_s21719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171914" name="Check Box 10" hidden="1">
              <a:extLst>
                <a:ext uri="{63B3BB69-23CF-44E3-9099-C40C66FF867C}">
                  <a14:compatExt spid="_x0000_s217191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171915" name="Check Box 11" hidden="1">
              <a:extLst>
                <a:ext uri="{63B3BB69-23CF-44E3-9099-C40C66FF867C}">
                  <a14:compatExt spid="_x0000_s21719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171916" name="Check Box 12" hidden="1">
              <a:extLst>
                <a:ext uri="{63B3BB69-23CF-44E3-9099-C40C66FF867C}">
                  <a14:compatExt spid="_x0000_s217191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171917" name="Check Box 13" hidden="1">
              <a:extLst>
                <a:ext uri="{63B3BB69-23CF-44E3-9099-C40C66FF867C}">
                  <a14:compatExt spid="_x0000_s217191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171918" name="Check Box 14" hidden="1">
              <a:extLst>
                <a:ext uri="{63B3BB69-23CF-44E3-9099-C40C66FF867C}">
                  <a14:compatExt spid="_x0000_s217191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171919" name="Check Box 15" hidden="1">
              <a:extLst>
                <a:ext uri="{63B3BB69-23CF-44E3-9099-C40C66FF867C}">
                  <a14:compatExt spid="_x0000_s21719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171920" name="Drop Down 16" hidden="1">
              <a:extLst>
                <a:ext uri="{63B3BB69-23CF-44E3-9099-C40C66FF867C}">
                  <a14:compatExt spid="_x0000_s2171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171921" name="Drop Down 17" hidden="1">
              <a:extLst>
                <a:ext uri="{63B3BB69-23CF-44E3-9099-C40C66FF867C}">
                  <a14:compatExt spid="_x0000_s2171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171922" name="Drop Down 18" hidden="1">
              <a:extLst>
                <a:ext uri="{63B3BB69-23CF-44E3-9099-C40C66FF867C}">
                  <a14:compatExt spid="_x0000_s2171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171923" name="Drop Down 19" hidden="1">
              <a:extLst>
                <a:ext uri="{63B3BB69-23CF-44E3-9099-C40C66FF867C}">
                  <a14:compatExt spid="_x0000_s2171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171924" name="Drop Down 20" hidden="1">
              <a:extLst>
                <a:ext uri="{63B3BB69-23CF-44E3-9099-C40C66FF867C}">
                  <a14:compatExt spid="_x0000_s2171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171925" name="Drop Down 21" hidden="1">
              <a:extLst>
                <a:ext uri="{63B3BB69-23CF-44E3-9099-C40C66FF867C}">
                  <a14:compatExt spid="_x0000_s2171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171926" name="Drop Down 22" hidden="1">
              <a:extLst>
                <a:ext uri="{63B3BB69-23CF-44E3-9099-C40C66FF867C}">
                  <a14:compatExt spid="_x0000_s2171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171927" name="Drop Down 23" hidden="1">
              <a:extLst>
                <a:ext uri="{63B3BB69-23CF-44E3-9099-C40C66FF867C}">
                  <a14:compatExt spid="_x0000_s2171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171928" name="Drop Down 24" hidden="1">
              <a:extLst>
                <a:ext uri="{63B3BB69-23CF-44E3-9099-C40C66FF867C}">
                  <a14:compatExt spid="_x0000_s2171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171929" name="Drop Down 25" hidden="1">
              <a:extLst>
                <a:ext uri="{63B3BB69-23CF-44E3-9099-C40C66FF867C}">
                  <a14:compatExt spid="_x0000_s2171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171930" name="Drop Down 26" hidden="1">
              <a:extLst>
                <a:ext uri="{63B3BB69-23CF-44E3-9099-C40C66FF867C}">
                  <a14:compatExt spid="_x0000_s2171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171931" name="Drop Down 27" hidden="1">
              <a:extLst>
                <a:ext uri="{63B3BB69-23CF-44E3-9099-C40C66FF867C}">
                  <a14:compatExt spid="_x0000_s2171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171932" name="Drop Down 28" hidden="1">
              <a:extLst>
                <a:ext uri="{63B3BB69-23CF-44E3-9099-C40C66FF867C}">
                  <a14:compatExt spid="_x0000_s2171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171933" name="Drop Down 29" hidden="1">
              <a:extLst>
                <a:ext uri="{63B3BB69-23CF-44E3-9099-C40C66FF867C}">
                  <a14:compatExt spid="_x0000_s2171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171934" name="Drop Down 30" hidden="1">
              <a:extLst>
                <a:ext uri="{63B3BB69-23CF-44E3-9099-C40C66FF867C}">
                  <a14:compatExt spid="_x0000_s2171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171935" name="Drop Down 31" hidden="1">
              <a:extLst>
                <a:ext uri="{63B3BB69-23CF-44E3-9099-C40C66FF867C}">
                  <a14:compatExt spid="_x0000_s2171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171936" name="Drop Down 32" hidden="1">
              <a:extLst>
                <a:ext uri="{63B3BB69-23CF-44E3-9099-C40C66FF867C}">
                  <a14:compatExt spid="_x0000_s2171936"/>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169857" name="Check Box 1" hidden="1">
              <a:extLst>
                <a:ext uri="{63B3BB69-23CF-44E3-9099-C40C66FF867C}">
                  <a14:compatExt spid="_x0000_s21698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169858" name="Check Box 2" hidden="1">
              <a:extLst>
                <a:ext uri="{63B3BB69-23CF-44E3-9099-C40C66FF867C}">
                  <a14:compatExt spid="_x0000_s21698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169859" name="Check Box 3" hidden="1">
              <a:extLst>
                <a:ext uri="{63B3BB69-23CF-44E3-9099-C40C66FF867C}">
                  <a14:compatExt spid="_x0000_s21698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169860" name="Check Box 4" hidden="1">
              <a:extLst>
                <a:ext uri="{63B3BB69-23CF-44E3-9099-C40C66FF867C}">
                  <a14:compatExt spid="_x0000_s21698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169861" name="Check Box 5" hidden="1">
              <a:extLst>
                <a:ext uri="{63B3BB69-23CF-44E3-9099-C40C66FF867C}">
                  <a14:compatExt spid="_x0000_s21698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169862" name="Check Box 6" hidden="1">
              <a:extLst>
                <a:ext uri="{63B3BB69-23CF-44E3-9099-C40C66FF867C}">
                  <a14:compatExt spid="_x0000_s21698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169863" name="Check Box 7" hidden="1">
              <a:extLst>
                <a:ext uri="{63B3BB69-23CF-44E3-9099-C40C66FF867C}">
                  <a14:compatExt spid="_x0000_s21698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169864" name="Check Box 8" hidden="1">
              <a:extLst>
                <a:ext uri="{63B3BB69-23CF-44E3-9099-C40C66FF867C}">
                  <a14:compatExt spid="_x0000_s21698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169865" name="Check Box 9" hidden="1">
              <a:extLst>
                <a:ext uri="{63B3BB69-23CF-44E3-9099-C40C66FF867C}">
                  <a14:compatExt spid="_x0000_s21698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169866" name="Check Box 10" hidden="1">
              <a:extLst>
                <a:ext uri="{63B3BB69-23CF-44E3-9099-C40C66FF867C}">
                  <a14:compatExt spid="_x0000_s21698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169867" name="Check Box 11" hidden="1">
              <a:extLst>
                <a:ext uri="{63B3BB69-23CF-44E3-9099-C40C66FF867C}">
                  <a14:compatExt spid="_x0000_s21698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169868" name="Check Box 12" hidden="1">
              <a:extLst>
                <a:ext uri="{63B3BB69-23CF-44E3-9099-C40C66FF867C}">
                  <a14:compatExt spid="_x0000_s216986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169869" name="Check Box 13" hidden="1">
              <a:extLst>
                <a:ext uri="{63B3BB69-23CF-44E3-9099-C40C66FF867C}">
                  <a14:compatExt spid="_x0000_s21698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169870" name="Check Box 14" hidden="1">
              <a:extLst>
                <a:ext uri="{63B3BB69-23CF-44E3-9099-C40C66FF867C}">
                  <a14:compatExt spid="_x0000_s21698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169871" name="Check Box 15" hidden="1">
              <a:extLst>
                <a:ext uri="{63B3BB69-23CF-44E3-9099-C40C66FF867C}">
                  <a14:compatExt spid="_x0000_s21698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169872" name="Drop Down 16" hidden="1">
              <a:extLst>
                <a:ext uri="{63B3BB69-23CF-44E3-9099-C40C66FF867C}">
                  <a14:compatExt spid="_x0000_s2169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169873" name="Drop Down 17" hidden="1">
              <a:extLst>
                <a:ext uri="{63B3BB69-23CF-44E3-9099-C40C66FF867C}">
                  <a14:compatExt spid="_x0000_s2169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169874" name="Drop Down 18" hidden="1">
              <a:extLst>
                <a:ext uri="{63B3BB69-23CF-44E3-9099-C40C66FF867C}">
                  <a14:compatExt spid="_x0000_s216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169875" name="Drop Down 19" hidden="1">
              <a:extLst>
                <a:ext uri="{63B3BB69-23CF-44E3-9099-C40C66FF867C}">
                  <a14:compatExt spid="_x0000_s2169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169876" name="Drop Down 20" hidden="1">
              <a:extLst>
                <a:ext uri="{63B3BB69-23CF-44E3-9099-C40C66FF867C}">
                  <a14:compatExt spid="_x0000_s2169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169877" name="Drop Down 21" hidden="1">
              <a:extLst>
                <a:ext uri="{63B3BB69-23CF-44E3-9099-C40C66FF867C}">
                  <a14:compatExt spid="_x0000_s2169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169878" name="Drop Down 22" hidden="1">
              <a:extLst>
                <a:ext uri="{63B3BB69-23CF-44E3-9099-C40C66FF867C}">
                  <a14:compatExt spid="_x0000_s2169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169879" name="Drop Down 23" hidden="1">
              <a:extLst>
                <a:ext uri="{63B3BB69-23CF-44E3-9099-C40C66FF867C}">
                  <a14:compatExt spid="_x0000_s2169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169880" name="Drop Down 24" hidden="1">
              <a:extLst>
                <a:ext uri="{63B3BB69-23CF-44E3-9099-C40C66FF867C}">
                  <a14:compatExt spid="_x0000_s2169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169881" name="Drop Down 25" hidden="1">
              <a:extLst>
                <a:ext uri="{63B3BB69-23CF-44E3-9099-C40C66FF867C}">
                  <a14:compatExt spid="_x0000_s2169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169882" name="Drop Down 26" hidden="1">
              <a:extLst>
                <a:ext uri="{63B3BB69-23CF-44E3-9099-C40C66FF867C}">
                  <a14:compatExt spid="_x0000_s2169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169883" name="Drop Down 27" hidden="1">
              <a:extLst>
                <a:ext uri="{63B3BB69-23CF-44E3-9099-C40C66FF867C}">
                  <a14:compatExt spid="_x0000_s2169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169884" name="Drop Down 28" hidden="1">
              <a:extLst>
                <a:ext uri="{63B3BB69-23CF-44E3-9099-C40C66FF867C}">
                  <a14:compatExt spid="_x0000_s2169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169885" name="Drop Down 29" hidden="1">
              <a:extLst>
                <a:ext uri="{63B3BB69-23CF-44E3-9099-C40C66FF867C}">
                  <a14:compatExt spid="_x0000_s2169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169886" name="Drop Down 30" hidden="1">
              <a:extLst>
                <a:ext uri="{63B3BB69-23CF-44E3-9099-C40C66FF867C}">
                  <a14:compatExt spid="_x0000_s2169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169887" name="Drop Down 31" hidden="1">
              <a:extLst>
                <a:ext uri="{63B3BB69-23CF-44E3-9099-C40C66FF867C}">
                  <a14:compatExt spid="_x0000_s2169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169888" name="Drop Down 32" hidden="1">
              <a:extLst>
                <a:ext uri="{63B3BB69-23CF-44E3-9099-C40C66FF867C}">
                  <a14:compatExt spid="_x0000_s2169888"/>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173953" name="Check Box 1" hidden="1">
              <a:extLst>
                <a:ext uri="{63B3BB69-23CF-44E3-9099-C40C66FF867C}">
                  <a14:compatExt spid="_x0000_s217395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173954" name="Check Box 2" hidden="1">
              <a:extLst>
                <a:ext uri="{63B3BB69-23CF-44E3-9099-C40C66FF867C}">
                  <a14:compatExt spid="_x0000_s21739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173955" name="Check Box 3" hidden="1">
              <a:extLst>
                <a:ext uri="{63B3BB69-23CF-44E3-9099-C40C66FF867C}">
                  <a14:compatExt spid="_x0000_s21739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173956" name="Check Box 4" hidden="1">
              <a:extLst>
                <a:ext uri="{63B3BB69-23CF-44E3-9099-C40C66FF867C}">
                  <a14:compatExt spid="_x0000_s21739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173957" name="Check Box 5" hidden="1">
              <a:extLst>
                <a:ext uri="{63B3BB69-23CF-44E3-9099-C40C66FF867C}">
                  <a14:compatExt spid="_x0000_s21739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173958" name="Check Box 6" hidden="1">
              <a:extLst>
                <a:ext uri="{63B3BB69-23CF-44E3-9099-C40C66FF867C}">
                  <a14:compatExt spid="_x0000_s21739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173959" name="Check Box 7" hidden="1">
              <a:extLst>
                <a:ext uri="{63B3BB69-23CF-44E3-9099-C40C66FF867C}">
                  <a14:compatExt spid="_x0000_s21739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173960" name="Check Box 8" hidden="1">
              <a:extLst>
                <a:ext uri="{63B3BB69-23CF-44E3-9099-C40C66FF867C}">
                  <a14:compatExt spid="_x0000_s21739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173961" name="Check Box 9" hidden="1">
              <a:extLst>
                <a:ext uri="{63B3BB69-23CF-44E3-9099-C40C66FF867C}">
                  <a14:compatExt spid="_x0000_s21739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173962" name="Check Box 10" hidden="1">
              <a:extLst>
                <a:ext uri="{63B3BB69-23CF-44E3-9099-C40C66FF867C}">
                  <a14:compatExt spid="_x0000_s21739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173963" name="Check Box 11" hidden="1">
              <a:extLst>
                <a:ext uri="{63B3BB69-23CF-44E3-9099-C40C66FF867C}">
                  <a14:compatExt spid="_x0000_s21739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173964" name="Check Box 12" hidden="1">
              <a:extLst>
                <a:ext uri="{63B3BB69-23CF-44E3-9099-C40C66FF867C}">
                  <a14:compatExt spid="_x0000_s21739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173965" name="Check Box 13" hidden="1">
              <a:extLst>
                <a:ext uri="{63B3BB69-23CF-44E3-9099-C40C66FF867C}">
                  <a14:compatExt spid="_x0000_s21739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173966" name="Check Box 14" hidden="1">
              <a:extLst>
                <a:ext uri="{63B3BB69-23CF-44E3-9099-C40C66FF867C}">
                  <a14:compatExt spid="_x0000_s21739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173967" name="Check Box 15" hidden="1">
              <a:extLst>
                <a:ext uri="{63B3BB69-23CF-44E3-9099-C40C66FF867C}">
                  <a14:compatExt spid="_x0000_s21739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173968" name="Drop Down 16" hidden="1">
              <a:extLst>
                <a:ext uri="{63B3BB69-23CF-44E3-9099-C40C66FF867C}">
                  <a14:compatExt spid="_x0000_s2173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173969" name="Drop Down 17" hidden="1">
              <a:extLst>
                <a:ext uri="{63B3BB69-23CF-44E3-9099-C40C66FF867C}">
                  <a14:compatExt spid="_x0000_s217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173970" name="Drop Down 18" hidden="1">
              <a:extLst>
                <a:ext uri="{63B3BB69-23CF-44E3-9099-C40C66FF867C}">
                  <a14:compatExt spid="_x0000_s217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173971" name="Drop Down 19" hidden="1">
              <a:extLst>
                <a:ext uri="{63B3BB69-23CF-44E3-9099-C40C66FF867C}">
                  <a14:compatExt spid="_x0000_s2173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173972" name="Drop Down 20" hidden="1">
              <a:extLst>
                <a:ext uri="{63B3BB69-23CF-44E3-9099-C40C66FF867C}">
                  <a14:compatExt spid="_x0000_s2173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173973" name="Drop Down 21" hidden="1">
              <a:extLst>
                <a:ext uri="{63B3BB69-23CF-44E3-9099-C40C66FF867C}">
                  <a14:compatExt spid="_x0000_s217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173974" name="Drop Down 22" hidden="1">
              <a:extLst>
                <a:ext uri="{63B3BB69-23CF-44E3-9099-C40C66FF867C}">
                  <a14:compatExt spid="_x0000_s217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173975" name="Drop Down 23" hidden="1">
              <a:extLst>
                <a:ext uri="{63B3BB69-23CF-44E3-9099-C40C66FF867C}">
                  <a14:compatExt spid="_x0000_s217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173976" name="Drop Down 24" hidden="1">
              <a:extLst>
                <a:ext uri="{63B3BB69-23CF-44E3-9099-C40C66FF867C}">
                  <a14:compatExt spid="_x0000_s217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173977" name="Drop Down 25" hidden="1">
              <a:extLst>
                <a:ext uri="{63B3BB69-23CF-44E3-9099-C40C66FF867C}">
                  <a14:compatExt spid="_x0000_s217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173978" name="Drop Down 26" hidden="1">
              <a:extLst>
                <a:ext uri="{63B3BB69-23CF-44E3-9099-C40C66FF867C}">
                  <a14:compatExt spid="_x0000_s217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173979" name="Drop Down 27" hidden="1">
              <a:extLst>
                <a:ext uri="{63B3BB69-23CF-44E3-9099-C40C66FF867C}">
                  <a14:compatExt spid="_x0000_s2173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173980" name="Drop Down 28" hidden="1">
              <a:extLst>
                <a:ext uri="{63B3BB69-23CF-44E3-9099-C40C66FF867C}">
                  <a14:compatExt spid="_x0000_s217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173981" name="Drop Down 29" hidden="1">
              <a:extLst>
                <a:ext uri="{63B3BB69-23CF-44E3-9099-C40C66FF867C}">
                  <a14:compatExt spid="_x0000_s217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173982" name="Drop Down 30" hidden="1">
              <a:extLst>
                <a:ext uri="{63B3BB69-23CF-44E3-9099-C40C66FF867C}">
                  <a14:compatExt spid="_x0000_s2173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173983" name="Drop Down 31" hidden="1">
              <a:extLst>
                <a:ext uri="{63B3BB69-23CF-44E3-9099-C40C66FF867C}">
                  <a14:compatExt spid="_x0000_s2173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173984" name="Drop Down 32" hidden="1">
              <a:extLst>
                <a:ext uri="{63B3BB69-23CF-44E3-9099-C40C66FF867C}">
                  <a14:compatExt spid="_x0000_s2173984"/>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306049" name="Check Box 1" hidden="1">
              <a:extLst>
                <a:ext uri="{63B3BB69-23CF-44E3-9099-C40C66FF867C}">
                  <a14:compatExt spid="_x0000_s2306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306050" name="Check Box 2" hidden="1">
              <a:extLst>
                <a:ext uri="{63B3BB69-23CF-44E3-9099-C40C66FF867C}">
                  <a14:compatExt spid="_x0000_s23060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306051" name="Check Box 3" hidden="1">
              <a:extLst>
                <a:ext uri="{63B3BB69-23CF-44E3-9099-C40C66FF867C}">
                  <a14:compatExt spid="_x0000_s230605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306052" name="Check Box 4" hidden="1">
              <a:extLst>
                <a:ext uri="{63B3BB69-23CF-44E3-9099-C40C66FF867C}">
                  <a14:compatExt spid="_x0000_s230605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306053" name="Check Box 5" hidden="1">
              <a:extLst>
                <a:ext uri="{63B3BB69-23CF-44E3-9099-C40C66FF867C}">
                  <a14:compatExt spid="_x0000_s230605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306054" name="Check Box 6" hidden="1">
              <a:extLst>
                <a:ext uri="{63B3BB69-23CF-44E3-9099-C40C66FF867C}">
                  <a14:compatExt spid="_x0000_s230605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306055" name="Check Box 7" hidden="1">
              <a:extLst>
                <a:ext uri="{63B3BB69-23CF-44E3-9099-C40C66FF867C}">
                  <a14:compatExt spid="_x0000_s230605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306056" name="Check Box 8" hidden="1">
              <a:extLst>
                <a:ext uri="{63B3BB69-23CF-44E3-9099-C40C66FF867C}">
                  <a14:compatExt spid="_x0000_s23060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306057" name="Check Box 9" hidden="1">
              <a:extLst>
                <a:ext uri="{63B3BB69-23CF-44E3-9099-C40C66FF867C}">
                  <a14:compatExt spid="_x0000_s23060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306058" name="Check Box 10" hidden="1">
              <a:extLst>
                <a:ext uri="{63B3BB69-23CF-44E3-9099-C40C66FF867C}">
                  <a14:compatExt spid="_x0000_s23060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306059" name="Check Box 11" hidden="1">
              <a:extLst>
                <a:ext uri="{63B3BB69-23CF-44E3-9099-C40C66FF867C}">
                  <a14:compatExt spid="_x0000_s23060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306060" name="Check Box 12" hidden="1">
              <a:extLst>
                <a:ext uri="{63B3BB69-23CF-44E3-9099-C40C66FF867C}">
                  <a14:compatExt spid="_x0000_s23060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306061" name="Check Box 13" hidden="1">
              <a:extLst>
                <a:ext uri="{63B3BB69-23CF-44E3-9099-C40C66FF867C}">
                  <a14:compatExt spid="_x0000_s23060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306062" name="Check Box 14" hidden="1">
              <a:extLst>
                <a:ext uri="{63B3BB69-23CF-44E3-9099-C40C66FF867C}">
                  <a14:compatExt spid="_x0000_s23060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306063" name="Check Box 15" hidden="1">
              <a:extLst>
                <a:ext uri="{63B3BB69-23CF-44E3-9099-C40C66FF867C}">
                  <a14:compatExt spid="_x0000_s23060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306064" name="Drop Down 16" hidden="1">
              <a:extLst>
                <a:ext uri="{63B3BB69-23CF-44E3-9099-C40C66FF867C}">
                  <a14:compatExt spid="_x0000_s2306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306065" name="Drop Down 17" hidden="1">
              <a:extLst>
                <a:ext uri="{63B3BB69-23CF-44E3-9099-C40C66FF867C}">
                  <a14:compatExt spid="_x0000_s2306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306066" name="Drop Down 18" hidden="1">
              <a:extLst>
                <a:ext uri="{63B3BB69-23CF-44E3-9099-C40C66FF867C}">
                  <a14:compatExt spid="_x0000_s2306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306067" name="Drop Down 19" hidden="1">
              <a:extLst>
                <a:ext uri="{63B3BB69-23CF-44E3-9099-C40C66FF867C}">
                  <a14:compatExt spid="_x0000_s2306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306068" name="Drop Down 20" hidden="1">
              <a:extLst>
                <a:ext uri="{63B3BB69-23CF-44E3-9099-C40C66FF867C}">
                  <a14:compatExt spid="_x0000_s2306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306069" name="Drop Down 21" hidden="1">
              <a:extLst>
                <a:ext uri="{63B3BB69-23CF-44E3-9099-C40C66FF867C}">
                  <a14:compatExt spid="_x0000_s2306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306070" name="Drop Down 22" hidden="1">
              <a:extLst>
                <a:ext uri="{63B3BB69-23CF-44E3-9099-C40C66FF867C}">
                  <a14:compatExt spid="_x0000_s2306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306071" name="Drop Down 23" hidden="1">
              <a:extLst>
                <a:ext uri="{63B3BB69-23CF-44E3-9099-C40C66FF867C}">
                  <a14:compatExt spid="_x0000_s2306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306072" name="Drop Down 24" hidden="1">
              <a:extLst>
                <a:ext uri="{63B3BB69-23CF-44E3-9099-C40C66FF867C}">
                  <a14:compatExt spid="_x0000_s2306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306073" name="Drop Down 25" hidden="1">
              <a:extLst>
                <a:ext uri="{63B3BB69-23CF-44E3-9099-C40C66FF867C}">
                  <a14:compatExt spid="_x0000_s2306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306074" name="Drop Down 26" hidden="1">
              <a:extLst>
                <a:ext uri="{63B3BB69-23CF-44E3-9099-C40C66FF867C}">
                  <a14:compatExt spid="_x0000_s2306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306075" name="Drop Down 27" hidden="1">
              <a:extLst>
                <a:ext uri="{63B3BB69-23CF-44E3-9099-C40C66FF867C}">
                  <a14:compatExt spid="_x0000_s2306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306076" name="Drop Down 28" hidden="1">
              <a:extLst>
                <a:ext uri="{63B3BB69-23CF-44E3-9099-C40C66FF867C}">
                  <a14:compatExt spid="_x0000_s2306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306077" name="Drop Down 29" hidden="1">
              <a:extLst>
                <a:ext uri="{63B3BB69-23CF-44E3-9099-C40C66FF867C}">
                  <a14:compatExt spid="_x0000_s2306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306078" name="Drop Down 30" hidden="1">
              <a:extLst>
                <a:ext uri="{63B3BB69-23CF-44E3-9099-C40C66FF867C}">
                  <a14:compatExt spid="_x0000_s2306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306079" name="Drop Down 31" hidden="1">
              <a:extLst>
                <a:ext uri="{63B3BB69-23CF-44E3-9099-C40C66FF867C}">
                  <a14:compatExt spid="_x0000_s2306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306080" name="Drop Down 32" hidden="1">
              <a:extLst>
                <a:ext uri="{63B3BB69-23CF-44E3-9099-C40C66FF867C}">
                  <a14:compatExt spid="_x0000_s2306080"/>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307073" name="Check Box 1" hidden="1">
              <a:extLst>
                <a:ext uri="{63B3BB69-23CF-44E3-9099-C40C66FF867C}">
                  <a14:compatExt spid="_x0000_s230707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307074" name="Check Box 2" hidden="1">
              <a:extLst>
                <a:ext uri="{63B3BB69-23CF-44E3-9099-C40C66FF867C}">
                  <a14:compatExt spid="_x0000_s230707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307075" name="Check Box 3" hidden="1">
              <a:extLst>
                <a:ext uri="{63B3BB69-23CF-44E3-9099-C40C66FF867C}">
                  <a14:compatExt spid="_x0000_s23070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307076" name="Check Box 4" hidden="1">
              <a:extLst>
                <a:ext uri="{63B3BB69-23CF-44E3-9099-C40C66FF867C}">
                  <a14:compatExt spid="_x0000_s230707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307077" name="Check Box 5" hidden="1">
              <a:extLst>
                <a:ext uri="{63B3BB69-23CF-44E3-9099-C40C66FF867C}">
                  <a14:compatExt spid="_x0000_s23070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307078" name="Check Box 6" hidden="1">
              <a:extLst>
                <a:ext uri="{63B3BB69-23CF-44E3-9099-C40C66FF867C}">
                  <a14:compatExt spid="_x0000_s23070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307079" name="Check Box 7" hidden="1">
              <a:extLst>
                <a:ext uri="{63B3BB69-23CF-44E3-9099-C40C66FF867C}">
                  <a14:compatExt spid="_x0000_s23070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307080" name="Check Box 8" hidden="1">
              <a:extLst>
                <a:ext uri="{63B3BB69-23CF-44E3-9099-C40C66FF867C}">
                  <a14:compatExt spid="_x0000_s23070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307081" name="Check Box 9" hidden="1">
              <a:extLst>
                <a:ext uri="{63B3BB69-23CF-44E3-9099-C40C66FF867C}">
                  <a14:compatExt spid="_x0000_s23070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307082" name="Check Box 10" hidden="1">
              <a:extLst>
                <a:ext uri="{63B3BB69-23CF-44E3-9099-C40C66FF867C}">
                  <a14:compatExt spid="_x0000_s23070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307083" name="Check Box 11" hidden="1">
              <a:extLst>
                <a:ext uri="{63B3BB69-23CF-44E3-9099-C40C66FF867C}">
                  <a14:compatExt spid="_x0000_s23070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307084" name="Check Box 12" hidden="1">
              <a:extLst>
                <a:ext uri="{63B3BB69-23CF-44E3-9099-C40C66FF867C}">
                  <a14:compatExt spid="_x0000_s23070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307085" name="Check Box 13" hidden="1">
              <a:extLst>
                <a:ext uri="{63B3BB69-23CF-44E3-9099-C40C66FF867C}">
                  <a14:compatExt spid="_x0000_s23070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307086" name="Check Box 14" hidden="1">
              <a:extLst>
                <a:ext uri="{63B3BB69-23CF-44E3-9099-C40C66FF867C}">
                  <a14:compatExt spid="_x0000_s23070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307087" name="Check Box 15" hidden="1">
              <a:extLst>
                <a:ext uri="{63B3BB69-23CF-44E3-9099-C40C66FF867C}">
                  <a14:compatExt spid="_x0000_s2307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307088" name="Drop Down 16" hidden="1">
              <a:extLst>
                <a:ext uri="{63B3BB69-23CF-44E3-9099-C40C66FF867C}">
                  <a14:compatExt spid="_x0000_s2307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307089" name="Drop Down 17" hidden="1">
              <a:extLst>
                <a:ext uri="{63B3BB69-23CF-44E3-9099-C40C66FF867C}">
                  <a14:compatExt spid="_x0000_s2307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307090" name="Drop Down 18" hidden="1">
              <a:extLst>
                <a:ext uri="{63B3BB69-23CF-44E3-9099-C40C66FF867C}">
                  <a14:compatExt spid="_x0000_s2307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307091" name="Drop Down 19" hidden="1">
              <a:extLst>
                <a:ext uri="{63B3BB69-23CF-44E3-9099-C40C66FF867C}">
                  <a14:compatExt spid="_x0000_s2307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307092" name="Drop Down 20" hidden="1">
              <a:extLst>
                <a:ext uri="{63B3BB69-23CF-44E3-9099-C40C66FF867C}">
                  <a14:compatExt spid="_x0000_s2307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307093" name="Drop Down 21" hidden="1">
              <a:extLst>
                <a:ext uri="{63B3BB69-23CF-44E3-9099-C40C66FF867C}">
                  <a14:compatExt spid="_x0000_s2307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307094" name="Drop Down 22" hidden="1">
              <a:extLst>
                <a:ext uri="{63B3BB69-23CF-44E3-9099-C40C66FF867C}">
                  <a14:compatExt spid="_x0000_s2307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307095" name="Drop Down 23" hidden="1">
              <a:extLst>
                <a:ext uri="{63B3BB69-23CF-44E3-9099-C40C66FF867C}">
                  <a14:compatExt spid="_x0000_s2307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307096" name="Drop Down 24" hidden="1">
              <a:extLst>
                <a:ext uri="{63B3BB69-23CF-44E3-9099-C40C66FF867C}">
                  <a14:compatExt spid="_x0000_s2307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307097" name="Drop Down 25" hidden="1">
              <a:extLst>
                <a:ext uri="{63B3BB69-23CF-44E3-9099-C40C66FF867C}">
                  <a14:compatExt spid="_x0000_s2307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307098" name="Drop Down 26" hidden="1">
              <a:extLst>
                <a:ext uri="{63B3BB69-23CF-44E3-9099-C40C66FF867C}">
                  <a14:compatExt spid="_x0000_s2307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307099" name="Drop Down 27" hidden="1">
              <a:extLst>
                <a:ext uri="{63B3BB69-23CF-44E3-9099-C40C66FF867C}">
                  <a14:compatExt spid="_x0000_s2307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307100" name="Drop Down 28" hidden="1">
              <a:extLst>
                <a:ext uri="{63B3BB69-23CF-44E3-9099-C40C66FF867C}">
                  <a14:compatExt spid="_x0000_s2307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307101" name="Drop Down 29" hidden="1">
              <a:extLst>
                <a:ext uri="{63B3BB69-23CF-44E3-9099-C40C66FF867C}">
                  <a14:compatExt spid="_x0000_s2307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307102" name="Drop Down 30" hidden="1">
              <a:extLst>
                <a:ext uri="{63B3BB69-23CF-44E3-9099-C40C66FF867C}">
                  <a14:compatExt spid="_x0000_s2307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307103" name="Drop Down 31" hidden="1">
              <a:extLst>
                <a:ext uri="{63B3BB69-23CF-44E3-9099-C40C66FF867C}">
                  <a14:compatExt spid="_x0000_s2307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307104" name="Drop Down 32" hidden="1">
              <a:extLst>
                <a:ext uri="{63B3BB69-23CF-44E3-9099-C40C66FF867C}">
                  <a14:compatExt spid="_x0000_s2307104"/>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18457" name="Check Box 25" hidden="1">
              <a:extLst>
                <a:ext uri="{63B3BB69-23CF-44E3-9099-C40C66FF867C}">
                  <a14:compatExt spid="_x0000_s1845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18458" name="Check Box 26" hidden="1">
              <a:extLst>
                <a:ext uri="{63B3BB69-23CF-44E3-9099-C40C66FF867C}">
                  <a14:compatExt spid="_x0000_s1845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18459" name="Check Box 27" hidden="1">
              <a:extLst>
                <a:ext uri="{63B3BB69-23CF-44E3-9099-C40C66FF867C}">
                  <a14:compatExt spid="_x0000_s1845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18460" name="Check Box 28" hidden="1">
              <a:extLst>
                <a:ext uri="{63B3BB69-23CF-44E3-9099-C40C66FF867C}">
                  <a14:compatExt spid="_x0000_s1846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18461" name="Check Box 29" hidden="1">
              <a:extLst>
                <a:ext uri="{63B3BB69-23CF-44E3-9099-C40C66FF867C}">
                  <a14:compatExt spid="_x0000_s184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18462" name="Check Box 30" hidden="1">
              <a:extLst>
                <a:ext uri="{63B3BB69-23CF-44E3-9099-C40C66FF867C}">
                  <a14:compatExt spid="_x0000_s184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18463" name="Check Box 31" hidden="1">
              <a:extLst>
                <a:ext uri="{63B3BB69-23CF-44E3-9099-C40C66FF867C}">
                  <a14:compatExt spid="_x0000_s184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18464" name="Check Box 32" hidden="1">
              <a:extLst>
                <a:ext uri="{63B3BB69-23CF-44E3-9099-C40C66FF867C}">
                  <a14:compatExt spid="_x0000_s184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18465" name="Check Box 33" hidden="1">
              <a:extLst>
                <a:ext uri="{63B3BB69-23CF-44E3-9099-C40C66FF867C}">
                  <a14:compatExt spid="_x0000_s184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18466" name="Check Box 34" hidden="1">
              <a:extLst>
                <a:ext uri="{63B3BB69-23CF-44E3-9099-C40C66FF867C}">
                  <a14:compatExt spid="_x0000_s184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18467" name="Check Box 35" hidden="1">
              <a:extLst>
                <a:ext uri="{63B3BB69-23CF-44E3-9099-C40C66FF867C}">
                  <a14:compatExt spid="_x0000_s184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18468" name="Check Box 36" hidden="1">
              <a:extLst>
                <a:ext uri="{63B3BB69-23CF-44E3-9099-C40C66FF867C}">
                  <a14:compatExt spid="_x0000_s1846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18469" name="Check Box 37" hidden="1">
              <a:extLst>
                <a:ext uri="{63B3BB69-23CF-44E3-9099-C40C66FF867C}">
                  <a14:compatExt spid="_x0000_s184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18470" name="Check Box 38" hidden="1">
              <a:extLst>
                <a:ext uri="{63B3BB69-23CF-44E3-9099-C40C66FF867C}">
                  <a14:compatExt spid="_x0000_s184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18471" name="Drop Down 39" hidden="1">
              <a:extLst>
                <a:ext uri="{63B3BB69-23CF-44E3-9099-C40C66FF867C}">
                  <a14:compatExt spid="_x0000_s18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18472" name="Drop Down 40" hidden="1">
              <a:extLst>
                <a:ext uri="{63B3BB69-23CF-44E3-9099-C40C66FF867C}">
                  <a14:compatExt spid="_x0000_s18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18473" name="Drop Down 41" hidden="1">
              <a:extLst>
                <a:ext uri="{63B3BB69-23CF-44E3-9099-C40C66FF867C}">
                  <a14:compatExt spid="_x0000_s18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18474" name="Drop Down 42" hidden="1">
              <a:extLst>
                <a:ext uri="{63B3BB69-23CF-44E3-9099-C40C66FF867C}">
                  <a14:compatExt spid="_x0000_s18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18475" name="Drop Down 43" hidden="1">
              <a:extLst>
                <a:ext uri="{63B3BB69-23CF-44E3-9099-C40C66FF867C}">
                  <a14:compatExt spid="_x0000_s18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18476" name="Drop Down 44" hidden="1">
              <a:extLst>
                <a:ext uri="{63B3BB69-23CF-44E3-9099-C40C66FF867C}">
                  <a14:compatExt spid="_x0000_s18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18477" name="Drop Down 45" hidden="1">
              <a:extLst>
                <a:ext uri="{63B3BB69-23CF-44E3-9099-C40C66FF867C}">
                  <a14:compatExt spid="_x0000_s18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18478" name="Drop Down 46" hidden="1">
              <a:extLst>
                <a:ext uri="{63B3BB69-23CF-44E3-9099-C40C66FF867C}">
                  <a14:compatExt spid="_x0000_s18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18479" name="Drop Down 47" hidden="1">
              <a:extLst>
                <a:ext uri="{63B3BB69-23CF-44E3-9099-C40C66FF867C}">
                  <a14:compatExt spid="_x0000_s18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18480" name="Drop Down 48" hidden="1">
              <a:extLst>
                <a:ext uri="{63B3BB69-23CF-44E3-9099-C40C66FF867C}">
                  <a14:compatExt spid="_x0000_s18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18481" name="Drop Down 49" hidden="1">
              <a:extLst>
                <a:ext uri="{63B3BB69-23CF-44E3-9099-C40C66FF867C}">
                  <a14:compatExt spid="_x0000_s18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18483" name="Drop Down 51" hidden="1">
              <a:extLst>
                <a:ext uri="{63B3BB69-23CF-44E3-9099-C40C66FF867C}">
                  <a14:compatExt spid="_x0000_s18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18486" name="Drop Down 54" hidden="1">
              <a:extLst>
                <a:ext uri="{63B3BB69-23CF-44E3-9099-C40C66FF867C}">
                  <a14:compatExt spid="_x0000_s18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18488" name="Drop Down 56" hidden="1">
              <a:extLst>
                <a:ext uri="{63B3BB69-23CF-44E3-9099-C40C66FF867C}">
                  <a14:compatExt spid="_x0000_s18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18490" name="Drop Down 58" hidden="1">
              <a:extLst>
                <a:ext uri="{63B3BB69-23CF-44E3-9099-C40C66FF867C}">
                  <a14:compatExt spid="_x0000_s18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18493" name="Drop Down 61" hidden="1">
              <a:extLst>
                <a:ext uri="{63B3BB69-23CF-44E3-9099-C40C66FF867C}">
                  <a14:compatExt spid="_x0000_s18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18494" name="Drop Down 62" hidden="1">
              <a:extLst>
                <a:ext uri="{63B3BB69-23CF-44E3-9099-C40C66FF867C}">
                  <a14:compatExt spid="_x0000_s18494"/>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273281" name="Check Box 1" hidden="1">
              <a:extLst>
                <a:ext uri="{63B3BB69-23CF-44E3-9099-C40C66FF867C}">
                  <a14:compatExt spid="_x0000_s22732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273282" name="Check Box 2" hidden="1">
              <a:extLst>
                <a:ext uri="{63B3BB69-23CF-44E3-9099-C40C66FF867C}">
                  <a14:compatExt spid="_x0000_s22732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273283" name="Check Box 3" hidden="1">
              <a:extLst>
                <a:ext uri="{63B3BB69-23CF-44E3-9099-C40C66FF867C}">
                  <a14:compatExt spid="_x0000_s22732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273284" name="Check Box 4" hidden="1">
              <a:extLst>
                <a:ext uri="{63B3BB69-23CF-44E3-9099-C40C66FF867C}">
                  <a14:compatExt spid="_x0000_s22732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273285" name="Check Box 5" hidden="1">
              <a:extLst>
                <a:ext uri="{63B3BB69-23CF-44E3-9099-C40C66FF867C}">
                  <a14:compatExt spid="_x0000_s22732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273286" name="Check Box 6" hidden="1">
              <a:extLst>
                <a:ext uri="{63B3BB69-23CF-44E3-9099-C40C66FF867C}">
                  <a14:compatExt spid="_x0000_s22732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273287" name="Check Box 7" hidden="1">
              <a:extLst>
                <a:ext uri="{63B3BB69-23CF-44E3-9099-C40C66FF867C}">
                  <a14:compatExt spid="_x0000_s22732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273288" name="Check Box 8" hidden="1">
              <a:extLst>
                <a:ext uri="{63B3BB69-23CF-44E3-9099-C40C66FF867C}">
                  <a14:compatExt spid="_x0000_s22732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273289" name="Check Box 9" hidden="1">
              <a:extLst>
                <a:ext uri="{63B3BB69-23CF-44E3-9099-C40C66FF867C}">
                  <a14:compatExt spid="_x0000_s22732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273290" name="Check Box 10" hidden="1">
              <a:extLst>
                <a:ext uri="{63B3BB69-23CF-44E3-9099-C40C66FF867C}">
                  <a14:compatExt spid="_x0000_s22732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273291" name="Check Box 11" hidden="1">
              <a:extLst>
                <a:ext uri="{63B3BB69-23CF-44E3-9099-C40C66FF867C}">
                  <a14:compatExt spid="_x0000_s22732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273292" name="Check Box 12" hidden="1">
              <a:extLst>
                <a:ext uri="{63B3BB69-23CF-44E3-9099-C40C66FF867C}">
                  <a14:compatExt spid="_x0000_s227329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273293" name="Check Box 13" hidden="1">
              <a:extLst>
                <a:ext uri="{63B3BB69-23CF-44E3-9099-C40C66FF867C}">
                  <a14:compatExt spid="_x0000_s22732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273294" name="Check Box 14" hidden="1">
              <a:extLst>
                <a:ext uri="{63B3BB69-23CF-44E3-9099-C40C66FF867C}">
                  <a14:compatExt spid="_x0000_s22732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273295" name="Check Box 15" hidden="1">
              <a:extLst>
                <a:ext uri="{63B3BB69-23CF-44E3-9099-C40C66FF867C}">
                  <a14:compatExt spid="_x0000_s22732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273296" name="Drop Down 16" hidden="1">
              <a:extLst>
                <a:ext uri="{63B3BB69-23CF-44E3-9099-C40C66FF867C}">
                  <a14:compatExt spid="_x0000_s2273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273297" name="Drop Down 17" hidden="1">
              <a:extLst>
                <a:ext uri="{63B3BB69-23CF-44E3-9099-C40C66FF867C}">
                  <a14:compatExt spid="_x0000_s2273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273298" name="Drop Down 18" hidden="1">
              <a:extLst>
                <a:ext uri="{63B3BB69-23CF-44E3-9099-C40C66FF867C}">
                  <a14:compatExt spid="_x0000_s2273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273299" name="Drop Down 19" hidden="1">
              <a:extLst>
                <a:ext uri="{63B3BB69-23CF-44E3-9099-C40C66FF867C}">
                  <a14:compatExt spid="_x0000_s2273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273300" name="Drop Down 20" hidden="1">
              <a:extLst>
                <a:ext uri="{63B3BB69-23CF-44E3-9099-C40C66FF867C}">
                  <a14:compatExt spid="_x0000_s2273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273301" name="Drop Down 21" hidden="1">
              <a:extLst>
                <a:ext uri="{63B3BB69-23CF-44E3-9099-C40C66FF867C}">
                  <a14:compatExt spid="_x0000_s2273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273302" name="Drop Down 22" hidden="1">
              <a:extLst>
                <a:ext uri="{63B3BB69-23CF-44E3-9099-C40C66FF867C}">
                  <a14:compatExt spid="_x0000_s2273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273303" name="Drop Down 23" hidden="1">
              <a:extLst>
                <a:ext uri="{63B3BB69-23CF-44E3-9099-C40C66FF867C}">
                  <a14:compatExt spid="_x0000_s2273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273304" name="Drop Down 24" hidden="1">
              <a:extLst>
                <a:ext uri="{63B3BB69-23CF-44E3-9099-C40C66FF867C}">
                  <a14:compatExt spid="_x0000_s2273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273305" name="Drop Down 25" hidden="1">
              <a:extLst>
                <a:ext uri="{63B3BB69-23CF-44E3-9099-C40C66FF867C}">
                  <a14:compatExt spid="_x0000_s2273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273306" name="Drop Down 26" hidden="1">
              <a:extLst>
                <a:ext uri="{63B3BB69-23CF-44E3-9099-C40C66FF867C}">
                  <a14:compatExt spid="_x0000_s2273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273307" name="Drop Down 27" hidden="1">
              <a:extLst>
                <a:ext uri="{63B3BB69-23CF-44E3-9099-C40C66FF867C}">
                  <a14:compatExt spid="_x0000_s2273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273308" name="Drop Down 28" hidden="1">
              <a:extLst>
                <a:ext uri="{63B3BB69-23CF-44E3-9099-C40C66FF867C}">
                  <a14:compatExt spid="_x0000_s2273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273309" name="Drop Down 29" hidden="1">
              <a:extLst>
                <a:ext uri="{63B3BB69-23CF-44E3-9099-C40C66FF867C}">
                  <a14:compatExt spid="_x0000_s2273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273310" name="Drop Down 30" hidden="1">
              <a:extLst>
                <a:ext uri="{63B3BB69-23CF-44E3-9099-C40C66FF867C}">
                  <a14:compatExt spid="_x0000_s2273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273311" name="Drop Down 31" hidden="1">
              <a:extLst>
                <a:ext uri="{63B3BB69-23CF-44E3-9099-C40C66FF867C}">
                  <a14:compatExt spid="_x0000_s2273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273312" name="Drop Down 32" hidden="1">
              <a:extLst>
                <a:ext uri="{63B3BB69-23CF-44E3-9099-C40C66FF867C}">
                  <a14:compatExt spid="_x0000_s2273312"/>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242561" name="Check Box 1" hidden="1">
              <a:extLst>
                <a:ext uri="{63B3BB69-23CF-44E3-9099-C40C66FF867C}">
                  <a14:compatExt spid="_x0000_s224256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242562" name="Check Box 2" hidden="1">
              <a:extLst>
                <a:ext uri="{63B3BB69-23CF-44E3-9099-C40C66FF867C}">
                  <a14:compatExt spid="_x0000_s22425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242563" name="Check Box 3" hidden="1">
              <a:extLst>
                <a:ext uri="{63B3BB69-23CF-44E3-9099-C40C66FF867C}">
                  <a14:compatExt spid="_x0000_s224256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242564" name="Check Box 4" hidden="1">
              <a:extLst>
                <a:ext uri="{63B3BB69-23CF-44E3-9099-C40C66FF867C}">
                  <a14:compatExt spid="_x0000_s224256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242565" name="Check Box 5" hidden="1">
              <a:extLst>
                <a:ext uri="{63B3BB69-23CF-44E3-9099-C40C66FF867C}">
                  <a14:compatExt spid="_x0000_s224256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242566" name="Check Box 6" hidden="1">
              <a:extLst>
                <a:ext uri="{63B3BB69-23CF-44E3-9099-C40C66FF867C}">
                  <a14:compatExt spid="_x0000_s224256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242567" name="Check Box 7" hidden="1">
              <a:extLst>
                <a:ext uri="{63B3BB69-23CF-44E3-9099-C40C66FF867C}">
                  <a14:compatExt spid="_x0000_s224256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242568" name="Check Box 8" hidden="1">
              <a:extLst>
                <a:ext uri="{63B3BB69-23CF-44E3-9099-C40C66FF867C}">
                  <a14:compatExt spid="_x0000_s224256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242569" name="Check Box 9" hidden="1">
              <a:extLst>
                <a:ext uri="{63B3BB69-23CF-44E3-9099-C40C66FF867C}">
                  <a14:compatExt spid="_x0000_s224256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242570" name="Check Box 10" hidden="1">
              <a:extLst>
                <a:ext uri="{63B3BB69-23CF-44E3-9099-C40C66FF867C}">
                  <a14:compatExt spid="_x0000_s224257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242571" name="Check Box 11" hidden="1">
              <a:extLst>
                <a:ext uri="{63B3BB69-23CF-44E3-9099-C40C66FF867C}">
                  <a14:compatExt spid="_x0000_s224257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242572" name="Check Box 12" hidden="1">
              <a:extLst>
                <a:ext uri="{63B3BB69-23CF-44E3-9099-C40C66FF867C}">
                  <a14:compatExt spid="_x0000_s224257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242573" name="Check Box 13" hidden="1">
              <a:extLst>
                <a:ext uri="{63B3BB69-23CF-44E3-9099-C40C66FF867C}">
                  <a14:compatExt spid="_x0000_s224257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242574" name="Check Box 14" hidden="1">
              <a:extLst>
                <a:ext uri="{63B3BB69-23CF-44E3-9099-C40C66FF867C}">
                  <a14:compatExt spid="_x0000_s224257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242575" name="Check Box 15" hidden="1">
              <a:extLst>
                <a:ext uri="{63B3BB69-23CF-44E3-9099-C40C66FF867C}">
                  <a14:compatExt spid="_x0000_s22425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242576" name="Drop Down 16" hidden="1">
              <a:extLst>
                <a:ext uri="{63B3BB69-23CF-44E3-9099-C40C66FF867C}">
                  <a14:compatExt spid="_x0000_s2242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242577" name="Drop Down 17" hidden="1">
              <a:extLst>
                <a:ext uri="{63B3BB69-23CF-44E3-9099-C40C66FF867C}">
                  <a14:compatExt spid="_x0000_s224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242578" name="Drop Down 18" hidden="1">
              <a:extLst>
                <a:ext uri="{63B3BB69-23CF-44E3-9099-C40C66FF867C}">
                  <a14:compatExt spid="_x0000_s224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242579" name="Drop Down 19" hidden="1">
              <a:extLst>
                <a:ext uri="{63B3BB69-23CF-44E3-9099-C40C66FF867C}">
                  <a14:compatExt spid="_x0000_s224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242580" name="Drop Down 20" hidden="1">
              <a:extLst>
                <a:ext uri="{63B3BB69-23CF-44E3-9099-C40C66FF867C}">
                  <a14:compatExt spid="_x0000_s224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242581" name="Drop Down 21" hidden="1">
              <a:extLst>
                <a:ext uri="{63B3BB69-23CF-44E3-9099-C40C66FF867C}">
                  <a14:compatExt spid="_x0000_s224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242582" name="Drop Down 22" hidden="1">
              <a:extLst>
                <a:ext uri="{63B3BB69-23CF-44E3-9099-C40C66FF867C}">
                  <a14:compatExt spid="_x0000_s224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242583" name="Drop Down 23" hidden="1">
              <a:extLst>
                <a:ext uri="{63B3BB69-23CF-44E3-9099-C40C66FF867C}">
                  <a14:compatExt spid="_x0000_s224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242584" name="Drop Down 24" hidden="1">
              <a:extLst>
                <a:ext uri="{63B3BB69-23CF-44E3-9099-C40C66FF867C}">
                  <a14:compatExt spid="_x0000_s224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242585" name="Drop Down 25" hidden="1">
              <a:extLst>
                <a:ext uri="{63B3BB69-23CF-44E3-9099-C40C66FF867C}">
                  <a14:compatExt spid="_x0000_s224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242586" name="Drop Down 26" hidden="1">
              <a:extLst>
                <a:ext uri="{63B3BB69-23CF-44E3-9099-C40C66FF867C}">
                  <a14:compatExt spid="_x0000_s224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242587" name="Drop Down 27" hidden="1">
              <a:extLst>
                <a:ext uri="{63B3BB69-23CF-44E3-9099-C40C66FF867C}">
                  <a14:compatExt spid="_x0000_s224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242588" name="Drop Down 28" hidden="1">
              <a:extLst>
                <a:ext uri="{63B3BB69-23CF-44E3-9099-C40C66FF867C}">
                  <a14:compatExt spid="_x0000_s224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242589" name="Drop Down 29" hidden="1">
              <a:extLst>
                <a:ext uri="{63B3BB69-23CF-44E3-9099-C40C66FF867C}">
                  <a14:compatExt spid="_x0000_s224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242590" name="Drop Down 30" hidden="1">
              <a:extLst>
                <a:ext uri="{63B3BB69-23CF-44E3-9099-C40C66FF867C}">
                  <a14:compatExt spid="_x0000_s224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242591" name="Drop Down 31" hidden="1">
              <a:extLst>
                <a:ext uri="{63B3BB69-23CF-44E3-9099-C40C66FF867C}">
                  <a14:compatExt spid="_x0000_s224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242592" name="Drop Down 32" hidden="1">
              <a:extLst>
                <a:ext uri="{63B3BB69-23CF-44E3-9099-C40C66FF867C}">
                  <a14:compatExt spid="_x0000_s2242592"/>
                </a:ext>
              </a:extLst>
            </xdr:cNvPr>
            <xdr:cNvSpPr/>
          </xdr:nvSpPr>
          <xdr:spPr>
            <a:xfrm>
              <a:off x="0" y="0"/>
              <a:ext cx="0" cy="0"/>
            </a:xfrm>
            <a:prstGeom prst="rect">
              <a:avLst/>
            </a:prstGeom>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12</xdr:col>
      <xdr:colOff>8626</xdr:colOff>
      <xdr:row>38</xdr:row>
      <xdr:rowOff>207033</xdr:rowOff>
    </xdr:from>
    <xdr:to>
      <xdr:col>15</xdr:col>
      <xdr:colOff>8626</xdr:colOff>
      <xdr:row>43</xdr:row>
      <xdr:rowOff>8626</xdr:rowOff>
    </xdr:to>
    <xdr:sp macro="" textlink="">
      <xdr:nvSpPr>
        <xdr:cNvPr id="2" name="Textfeld 1"/>
        <xdr:cNvSpPr txBox="1"/>
      </xdr:nvSpPr>
      <xdr:spPr>
        <a:xfrm>
          <a:off x="5779698" y="8272731"/>
          <a:ext cx="2743200" cy="845389"/>
        </a:xfrm>
        <a:prstGeom prst="rect">
          <a:avLst/>
        </a:prstGeom>
        <a:solidFill>
          <a:schemeClr val="lt1"/>
        </a:solid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Bei Zwischenfr. werden</a:t>
          </a:r>
          <a:r>
            <a:rPr lang="de-DE" sz="1200" baseline="0"/>
            <a:t> die festen Maschinen-/Gebäudekosten, Pacht-ansatz nicht einbezogen, da diese bereits die Hauptkultur abdeckt !</a:t>
          </a:r>
        </a:p>
        <a:p>
          <a:endParaRPr lang="de-DE" sz="1100"/>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167809" name="Check Box 1" hidden="1">
              <a:extLst>
                <a:ext uri="{63B3BB69-23CF-44E3-9099-C40C66FF867C}">
                  <a14:compatExt spid="_x0000_s216780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167810" name="Check Box 2" hidden="1">
              <a:extLst>
                <a:ext uri="{63B3BB69-23CF-44E3-9099-C40C66FF867C}">
                  <a14:compatExt spid="_x0000_s21678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167811" name="Check Box 3" hidden="1">
              <a:extLst>
                <a:ext uri="{63B3BB69-23CF-44E3-9099-C40C66FF867C}">
                  <a14:compatExt spid="_x0000_s21678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167812" name="Check Box 4" hidden="1">
              <a:extLst>
                <a:ext uri="{63B3BB69-23CF-44E3-9099-C40C66FF867C}">
                  <a14:compatExt spid="_x0000_s216781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167813" name="Check Box 5" hidden="1">
              <a:extLst>
                <a:ext uri="{63B3BB69-23CF-44E3-9099-C40C66FF867C}">
                  <a14:compatExt spid="_x0000_s21678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167814" name="Check Box 6" hidden="1">
              <a:extLst>
                <a:ext uri="{63B3BB69-23CF-44E3-9099-C40C66FF867C}">
                  <a14:compatExt spid="_x0000_s216781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167815" name="Check Box 7" hidden="1">
              <a:extLst>
                <a:ext uri="{63B3BB69-23CF-44E3-9099-C40C66FF867C}">
                  <a14:compatExt spid="_x0000_s21678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167816" name="Check Box 8" hidden="1">
              <a:extLst>
                <a:ext uri="{63B3BB69-23CF-44E3-9099-C40C66FF867C}">
                  <a14:compatExt spid="_x0000_s216781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167817" name="Check Box 9" hidden="1">
              <a:extLst>
                <a:ext uri="{63B3BB69-23CF-44E3-9099-C40C66FF867C}">
                  <a14:compatExt spid="_x0000_s216781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167818" name="Check Box 10" hidden="1">
              <a:extLst>
                <a:ext uri="{63B3BB69-23CF-44E3-9099-C40C66FF867C}">
                  <a14:compatExt spid="_x0000_s216781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167819" name="Check Box 11" hidden="1">
              <a:extLst>
                <a:ext uri="{63B3BB69-23CF-44E3-9099-C40C66FF867C}">
                  <a14:compatExt spid="_x0000_s21678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167820" name="Check Box 12" hidden="1">
              <a:extLst>
                <a:ext uri="{63B3BB69-23CF-44E3-9099-C40C66FF867C}">
                  <a14:compatExt spid="_x0000_s216782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167821" name="Check Box 13" hidden="1">
              <a:extLst>
                <a:ext uri="{63B3BB69-23CF-44E3-9099-C40C66FF867C}">
                  <a14:compatExt spid="_x0000_s21678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167822" name="Check Box 14" hidden="1">
              <a:extLst>
                <a:ext uri="{63B3BB69-23CF-44E3-9099-C40C66FF867C}">
                  <a14:compatExt spid="_x0000_s216782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167823" name="Check Box 15" hidden="1">
              <a:extLst>
                <a:ext uri="{63B3BB69-23CF-44E3-9099-C40C66FF867C}">
                  <a14:compatExt spid="_x0000_s21678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167824" name="Drop Down 16" hidden="1">
              <a:extLst>
                <a:ext uri="{63B3BB69-23CF-44E3-9099-C40C66FF867C}">
                  <a14:compatExt spid="_x0000_s2167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167825" name="Drop Down 17" hidden="1">
              <a:extLst>
                <a:ext uri="{63B3BB69-23CF-44E3-9099-C40C66FF867C}">
                  <a14:compatExt spid="_x0000_s2167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181155</xdr:rowOff>
        </xdr:from>
        <xdr:to>
          <xdr:col>7</xdr:col>
          <xdr:colOff>69011</xdr:colOff>
          <xdr:row>47</xdr:row>
          <xdr:rowOff>0</xdr:rowOff>
        </xdr:to>
        <xdr:sp macro="" textlink="">
          <xdr:nvSpPr>
            <xdr:cNvPr id="2167826" name="Drop Down 18" hidden="1">
              <a:extLst>
                <a:ext uri="{63B3BB69-23CF-44E3-9099-C40C66FF867C}">
                  <a14:compatExt spid="_x0000_s2167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181155</xdr:rowOff>
        </xdr:from>
        <xdr:to>
          <xdr:col>7</xdr:col>
          <xdr:colOff>69011</xdr:colOff>
          <xdr:row>48</xdr:row>
          <xdr:rowOff>0</xdr:rowOff>
        </xdr:to>
        <xdr:sp macro="" textlink="">
          <xdr:nvSpPr>
            <xdr:cNvPr id="2167827" name="Drop Down 19" hidden="1">
              <a:extLst>
                <a:ext uri="{63B3BB69-23CF-44E3-9099-C40C66FF867C}">
                  <a14:compatExt spid="_x0000_s2167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181155</xdr:rowOff>
        </xdr:from>
        <xdr:to>
          <xdr:col>7</xdr:col>
          <xdr:colOff>69011</xdr:colOff>
          <xdr:row>49</xdr:row>
          <xdr:rowOff>0</xdr:rowOff>
        </xdr:to>
        <xdr:sp macro="" textlink="">
          <xdr:nvSpPr>
            <xdr:cNvPr id="2167828" name="Drop Down 20" hidden="1">
              <a:extLst>
                <a:ext uri="{63B3BB69-23CF-44E3-9099-C40C66FF867C}">
                  <a14:compatExt spid="_x0000_s2167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155275</xdr:rowOff>
        </xdr:from>
        <xdr:to>
          <xdr:col>7</xdr:col>
          <xdr:colOff>69011</xdr:colOff>
          <xdr:row>49</xdr:row>
          <xdr:rowOff>172528</xdr:rowOff>
        </xdr:to>
        <xdr:sp macro="" textlink="">
          <xdr:nvSpPr>
            <xdr:cNvPr id="2167829" name="Drop Down 21" hidden="1">
              <a:extLst>
                <a:ext uri="{63B3BB69-23CF-44E3-9099-C40C66FF867C}">
                  <a14:compatExt spid="_x0000_s2167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172528</xdr:rowOff>
        </xdr:from>
        <xdr:to>
          <xdr:col>7</xdr:col>
          <xdr:colOff>69011</xdr:colOff>
          <xdr:row>51</xdr:row>
          <xdr:rowOff>0</xdr:rowOff>
        </xdr:to>
        <xdr:sp macro="" textlink="">
          <xdr:nvSpPr>
            <xdr:cNvPr id="2167830" name="Drop Down 22" hidden="1">
              <a:extLst>
                <a:ext uri="{63B3BB69-23CF-44E3-9099-C40C66FF867C}">
                  <a14:compatExt spid="_x0000_s2167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155275</xdr:rowOff>
        </xdr:from>
        <xdr:to>
          <xdr:col>7</xdr:col>
          <xdr:colOff>69011</xdr:colOff>
          <xdr:row>51</xdr:row>
          <xdr:rowOff>172528</xdr:rowOff>
        </xdr:to>
        <xdr:sp macro="" textlink="">
          <xdr:nvSpPr>
            <xdr:cNvPr id="2167831" name="Drop Down 23" hidden="1">
              <a:extLst>
                <a:ext uri="{63B3BB69-23CF-44E3-9099-C40C66FF867C}">
                  <a14:compatExt spid="_x0000_s2167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167832" name="Drop Down 24" hidden="1">
              <a:extLst>
                <a:ext uri="{63B3BB69-23CF-44E3-9099-C40C66FF867C}">
                  <a14:compatExt spid="_x0000_s2167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167833" name="Drop Down 25" hidden="1">
              <a:extLst>
                <a:ext uri="{63B3BB69-23CF-44E3-9099-C40C66FF867C}">
                  <a14:compatExt spid="_x0000_s2167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167834" name="Drop Down 26" hidden="1">
              <a:extLst>
                <a:ext uri="{63B3BB69-23CF-44E3-9099-C40C66FF867C}">
                  <a14:compatExt spid="_x0000_s2167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7</xdr:col>
          <xdr:colOff>69011</xdr:colOff>
          <xdr:row>19</xdr:row>
          <xdr:rowOff>0</xdr:rowOff>
        </xdr:to>
        <xdr:sp macro="" textlink="">
          <xdr:nvSpPr>
            <xdr:cNvPr id="2167835" name="Drop Down 27" hidden="1">
              <a:extLst>
                <a:ext uri="{63B3BB69-23CF-44E3-9099-C40C66FF867C}">
                  <a14:compatExt spid="_x0000_s2167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7</xdr:col>
          <xdr:colOff>69011</xdr:colOff>
          <xdr:row>20</xdr:row>
          <xdr:rowOff>0</xdr:rowOff>
        </xdr:to>
        <xdr:sp macro="" textlink="">
          <xdr:nvSpPr>
            <xdr:cNvPr id="2167836" name="Drop Down 28" hidden="1">
              <a:extLst>
                <a:ext uri="{63B3BB69-23CF-44E3-9099-C40C66FF867C}">
                  <a14:compatExt spid="_x0000_s2167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7</xdr:col>
          <xdr:colOff>69011</xdr:colOff>
          <xdr:row>21</xdr:row>
          <xdr:rowOff>0</xdr:rowOff>
        </xdr:to>
        <xdr:sp macro="" textlink="">
          <xdr:nvSpPr>
            <xdr:cNvPr id="2167837" name="Drop Down 29" hidden="1">
              <a:extLst>
                <a:ext uri="{63B3BB69-23CF-44E3-9099-C40C66FF867C}">
                  <a14:compatExt spid="_x0000_s2167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7</xdr:col>
          <xdr:colOff>69011</xdr:colOff>
          <xdr:row>22</xdr:row>
          <xdr:rowOff>0</xdr:rowOff>
        </xdr:to>
        <xdr:sp macro="" textlink="">
          <xdr:nvSpPr>
            <xdr:cNvPr id="2167838" name="Drop Down 30" hidden="1">
              <a:extLst>
                <a:ext uri="{63B3BB69-23CF-44E3-9099-C40C66FF867C}">
                  <a14:compatExt spid="_x0000_s2167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7</xdr:col>
          <xdr:colOff>69011</xdr:colOff>
          <xdr:row>23</xdr:row>
          <xdr:rowOff>0</xdr:rowOff>
        </xdr:to>
        <xdr:sp macro="" textlink="">
          <xdr:nvSpPr>
            <xdr:cNvPr id="2167839" name="Drop Down 31" hidden="1">
              <a:extLst>
                <a:ext uri="{63B3BB69-23CF-44E3-9099-C40C66FF867C}">
                  <a14:compatExt spid="_x0000_s2167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7</xdr:col>
          <xdr:colOff>69011</xdr:colOff>
          <xdr:row>24</xdr:row>
          <xdr:rowOff>198408</xdr:rowOff>
        </xdr:to>
        <xdr:sp macro="" textlink="">
          <xdr:nvSpPr>
            <xdr:cNvPr id="2167840" name="Drop Down 32" hidden="1">
              <a:extLst>
                <a:ext uri="{63B3BB69-23CF-44E3-9099-C40C66FF867C}">
                  <a14:compatExt spid="_x0000_s216784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39211</xdr:colOff>
      <xdr:row>2</xdr:row>
      <xdr:rowOff>698193</xdr:rowOff>
    </xdr:from>
    <xdr:to>
      <xdr:col>21</xdr:col>
      <xdr:colOff>40462</xdr:colOff>
      <xdr:row>51</xdr:row>
      <xdr:rowOff>434245</xdr:rowOff>
    </xdr:to>
    <xdr:graphicFrame macro="">
      <xdr:nvGraphicFramePr>
        <xdr:cNvPr id="363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47411</xdr:rowOff>
    </xdr:from>
    <xdr:to>
      <xdr:col>20</xdr:col>
      <xdr:colOff>973186</xdr:colOff>
      <xdr:row>110</xdr:row>
      <xdr:rowOff>188529</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20487" name="Check Box 7" hidden="1">
              <a:extLst>
                <a:ext uri="{63B3BB69-23CF-44E3-9099-C40C66FF867C}">
                  <a14:compatExt spid="_x0000_s204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20488" name="Check Box 8" hidden="1">
              <a:extLst>
                <a:ext uri="{63B3BB69-23CF-44E3-9099-C40C66FF867C}">
                  <a14:compatExt spid="_x0000_s204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20489" name="Check Box 9" hidden="1">
              <a:extLst>
                <a:ext uri="{63B3BB69-23CF-44E3-9099-C40C66FF867C}">
                  <a14:compatExt spid="_x0000_s204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20490" name="Check Box 10" hidden="1">
              <a:extLst>
                <a:ext uri="{63B3BB69-23CF-44E3-9099-C40C66FF867C}">
                  <a14:compatExt spid="_x0000_s204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20491" name="Check Box 11" hidden="1">
              <a:extLst>
                <a:ext uri="{63B3BB69-23CF-44E3-9099-C40C66FF867C}">
                  <a14:compatExt spid="_x0000_s204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20492" name="Check Box 12" hidden="1">
              <a:extLst>
                <a:ext uri="{63B3BB69-23CF-44E3-9099-C40C66FF867C}">
                  <a14:compatExt spid="_x0000_s2049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20493" name="Check Box 13" hidden="1">
              <a:extLst>
                <a:ext uri="{63B3BB69-23CF-44E3-9099-C40C66FF867C}">
                  <a14:compatExt spid="_x0000_s204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20494" name="Check Box 14" hidden="1">
              <a:extLst>
                <a:ext uri="{63B3BB69-23CF-44E3-9099-C40C66FF867C}">
                  <a14:compatExt spid="_x0000_s204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20495" name="Check Box 15" hidden="1">
              <a:extLst>
                <a:ext uri="{63B3BB69-23CF-44E3-9099-C40C66FF867C}">
                  <a14:compatExt spid="_x0000_s204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20496" name="Drop Down 16" hidden="1">
              <a:extLst>
                <a:ext uri="{63B3BB69-23CF-44E3-9099-C40C66FF867C}">
                  <a14:compatExt spid="_x0000_s20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20497" name="Drop Down 17" hidden="1">
              <a:extLst>
                <a:ext uri="{63B3BB69-23CF-44E3-9099-C40C66FF867C}">
                  <a14:compatExt spid="_x0000_s20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69011</xdr:colOff>
          <xdr:row>47</xdr:row>
          <xdr:rowOff>8626</xdr:rowOff>
        </xdr:to>
        <xdr:sp macro="" textlink="">
          <xdr:nvSpPr>
            <xdr:cNvPr id="20498" name="Drop Down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69011</xdr:colOff>
          <xdr:row>48</xdr:row>
          <xdr:rowOff>8626</xdr:rowOff>
        </xdr:to>
        <xdr:sp macro="" textlink="">
          <xdr:nvSpPr>
            <xdr:cNvPr id="20499" name="Drop Down 19" hidden="1">
              <a:extLst>
                <a:ext uri="{63B3BB69-23CF-44E3-9099-C40C66FF867C}">
                  <a14:compatExt spid="_x0000_s20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69011</xdr:colOff>
          <xdr:row>49</xdr:row>
          <xdr:rowOff>8626</xdr:rowOff>
        </xdr:to>
        <xdr:sp macro="" textlink="">
          <xdr:nvSpPr>
            <xdr:cNvPr id="20500" name="Drop Down 20" hidden="1">
              <a:extLst>
                <a:ext uri="{63B3BB69-23CF-44E3-9099-C40C66FF867C}">
                  <a14:compatExt spid="_x0000_s2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69011</xdr:colOff>
          <xdr:row>50</xdr:row>
          <xdr:rowOff>8626</xdr:rowOff>
        </xdr:to>
        <xdr:sp macro="" textlink="">
          <xdr:nvSpPr>
            <xdr:cNvPr id="20501" name="Drop Down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69011</xdr:colOff>
          <xdr:row>51</xdr:row>
          <xdr:rowOff>8626</xdr:rowOff>
        </xdr:to>
        <xdr:sp macro="" textlink="">
          <xdr:nvSpPr>
            <xdr:cNvPr id="20502" name="Drop Down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69011</xdr:colOff>
          <xdr:row>52</xdr:row>
          <xdr:rowOff>8626</xdr:rowOff>
        </xdr:to>
        <xdr:sp macro="" textlink="">
          <xdr:nvSpPr>
            <xdr:cNvPr id="20503" name="Drop Down 23" hidden="1">
              <a:extLst>
                <a:ext uri="{63B3BB69-23CF-44E3-9099-C40C66FF867C}">
                  <a14:compatExt spid="_x0000_s2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20504" name="Drop Down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20505" name="Drop Down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20506" name="Drop Down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1236993" name="Check Box 1" hidden="1">
              <a:extLst>
                <a:ext uri="{63B3BB69-23CF-44E3-9099-C40C66FF867C}">
                  <a14:compatExt spid="_x0000_s12369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1236994" name="Check Box 2" hidden="1">
              <a:extLst>
                <a:ext uri="{63B3BB69-23CF-44E3-9099-C40C66FF867C}">
                  <a14:compatExt spid="_x0000_s12369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1236995" name="Check Box 3" hidden="1">
              <a:extLst>
                <a:ext uri="{63B3BB69-23CF-44E3-9099-C40C66FF867C}">
                  <a14:compatExt spid="_x0000_s12369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1236996" name="Check Box 4" hidden="1">
              <a:extLst>
                <a:ext uri="{63B3BB69-23CF-44E3-9099-C40C66FF867C}">
                  <a14:compatExt spid="_x0000_s123699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1236997" name="Check Box 5" hidden="1">
              <a:extLst>
                <a:ext uri="{63B3BB69-23CF-44E3-9099-C40C66FF867C}">
                  <a14:compatExt spid="_x0000_s123699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1236998" name="Check Box 6" hidden="1">
              <a:extLst>
                <a:ext uri="{63B3BB69-23CF-44E3-9099-C40C66FF867C}">
                  <a14:compatExt spid="_x0000_s123699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1236999" name="Check Box 7" hidden="1">
              <a:extLst>
                <a:ext uri="{63B3BB69-23CF-44E3-9099-C40C66FF867C}">
                  <a14:compatExt spid="_x0000_s12369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1237000" name="Check Box 8" hidden="1">
              <a:extLst>
                <a:ext uri="{63B3BB69-23CF-44E3-9099-C40C66FF867C}">
                  <a14:compatExt spid="_x0000_s123700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1237001" name="Check Box 9" hidden="1">
              <a:extLst>
                <a:ext uri="{63B3BB69-23CF-44E3-9099-C40C66FF867C}">
                  <a14:compatExt spid="_x0000_s123700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1237002" name="Check Box 10" hidden="1">
              <a:extLst>
                <a:ext uri="{63B3BB69-23CF-44E3-9099-C40C66FF867C}">
                  <a14:compatExt spid="_x0000_s12370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1237003" name="Check Box 11" hidden="1">
              <a:extLst>
                <a:ext uri="{63B3BB69-23CF-44E3-9099-C40C66FF867C}">
                  <a14:compatExt spid="_x0000_s12370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1237004" name="Check Box 12" hidden="1">
              <a:extLst>
                <a:ext uri="{63B3BB69-23CF-44E3-9099-C40C66FF867C}">
                  <a14:compatExt spid="_x0000_s12370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1237005" name="Check Box 13" hidden="1">
              <a:extLst>
                <a:ext uri="{63B3BB69-23CF-44E3-9099-C40C66FF867C}">
                  <a14:compatExt spid="_x0000_s12370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1237006" name="Check Box 14" hidden="1">
              <a:extLst>
                <a:ext uri="{63B3BB69-23CF-44E3-9099-C40C66FF867C}">
                  <a14:compatExt spid="_x0000_s123700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1237007" name="Check Box 15" hidden="1">
              <a:extLst>
                <a:ext uri="{63B3BB69-23CF-44E3-9099-C40C66FF867C}">
                  <a14:compatExt spid="_x0000_s123700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7</xdr:col>
          <xdr:colOff>69011</xdr:colOff>
          <xdr:row>45</xdr:row>
          <xdr:rowOff>8626</xdr:rowOff>
        </xdr:to>
        <xdr:sp macro="" textlink="">
          <xdr:nvSpPr>
            <xdr:cNvPr id="1237008" name="Drop Down 16" hidden="1">
              <a:extLst>
                <a:ext uri="{63B3BB69-23CF-44E3-9099-C40C66FF867C}">
                  <a14:compatExt spid="_x0000_s1237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7</xdr:col>
          <xdr:colOff>69011</xdr:colOff>
          <xdr:row>46</xdr:row>
          <xdr:rowOff>8626</xdr:rowOff>
        </xdr:to>
        <xdr:sp macro="" textlink="">
          <xdr:nvSpPr>
            <xdr:cNvPr id="1237009" name="Drop Down 17" hidden="1">
              <a:extLst>
                <a:ext uri="{63B3BB69-23CF-44E3-9099-C40C66FF867C}">
                  <a14:compatExt spid="_x0000_s1237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7</xdr:col>
          <xdr:colOff>69011</xdr:colOff>
          <xdr:row>47</xdr:row>
          <xdr:rowOff>8626</xdr:rowOff>
        </xdr:to>
        <xdr:sp macro="" textlink="">
          <xdr:nvSpPr>
            <xdr:cNvPr id="1237010" name="Drop Down 18" hidden="1">
              <a:extLst>
                <a:ext uri="{63B3BB69-23CF-44E3-9099-C40C66FF867C}">
                  <a14:compatExt spid="_x0000_s1237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7</xdr:col>
          <xdr:colOff>69011</xdr:colOff>
          <xdr:row>48</xdr:row>
          <xdr:rowOff>8626</xdr:rowOff>
        </xdr:to>
        <xdr:sp macro="" textlink="">
          <xdr:nvSpPr>
            <xdr:cNvPr id="1237011" name="Drop Down 19" hidden="1">
              <a:extLst>
                <a:ext uri="{63B3BB69-23CF-44E3-9099-C40C66FF867C}">
                  <a14:compatExt spid="_x0000_s1237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7</xdr:col>
          <xdr:colOff>69011</xdr:colOff>
          <xdr:row>49</xdr:row>
          <xdr:rowOff>8626</xdr:rowOff>
        </xdr:to>
        <xdr:sp macro="" textlink="">
          <xdr:nvSpPr>
            <xdr:cNvPr id="1237012" name="Drop Down 20" hidden="1">
              <a:extLst>
                <a:ext uri="{63B3BB69-23CF-44E3-9099-C40C66FF867C}">
                  <a14:compatExt spid="_x0000_s1237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7</xdr:col>
          <xdr:colOff>69011</xdr:colOff>
          <xdr:row>50</xdr:row>
          <xdr:rowOff>8626</xdr:rowOff>
        </xdr:to>
        <xdr:sp macro="" textlink="">
          <xdr:nvSpPr>
            <xdr:cNvPr id="1237013" name="Drop Down 21" hidden="1">
              <a:extLst>
                <a:ext uri="{63B3BB69-23CF-44E3-9099-C40C66FF867C}">
                  <a14:compatExt spid="_x0000_s1237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7</xdr:col>
          <xdr:colOff>69011</xdr:colOff>
          <xdr:row>51</xdr:row>
          <xdr:rowOff>8626</xdr:rowOff>
        </xdr:to>
        <xdr:sp macro="" textlink="">
          <xdr:nvSpPr>
            <xdr:cNvPr id="1237014" name="Drop Down 22" hidden="1">
              <a:extLst>
                <a:ext uri="{63B3BB69-23CF-44E3-9099-C40C66FF867C}">
                  <a14:compatExt spid="_x0000_s1237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7</xdr:col>
          <xdr:colOff>69011</xdr:colOff>
          <xdr:row>52</xdr:row>
          <xdr:rowOff>8626</xdr:rowOff>
        </xdr:to>
        <xdr:sp macro="" textlink="">
          <xdr:nvSpPr>
            <xdr:cNvPr id="1237015" name="Drop Down 23" hidden="1">
              <a:extLst>
                <a:ext uri="{63B3BB69-23CF-44E3-9099-C40C66FF867C}">
                  <a14:compatExt spid="_x0000_s1237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7</xdr:col>
          <xdr:colOff>69011</xdr:colOff>
          <xdr:row>53</xdr:row>
          <xdr:rowOff>8626</xdr:rowOff>
        </xdr:to>
        <xdr:sp macro="" textlink="">
          <xdr:nvSpPr>
            <xdr:cNvPr id="1237016" name="Drop Down 24" hidden="1">
              <a:extLst>
                <a:ext uri="{63B3BB69-23CF-44E3-9099-C40C66FF867C}">
                  <a14:compatExt spid="_x0000_s1237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7</xdr:col>
          <xdr:colOff>69011</xdr:colOff>
          <xdr:row>54</xdr:row>
          <xdr:rowOff>8626</xdr:rowOff>
        </xdr:to>
        <xdr:sp macro="" textlink="">
          <xdr:nvSpPr>
            <xdr:cNvPr id="1237017" name="Drop Down 25" hidden="1">
              <a:extLst>
                <a:ext uri="{63B3BB69-23CF-44E3-9099-C40C66FF867C}">
                  <a14:compatExt spid="_x0000_s1237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181155</xdr:rowOff>
        </xdr:from>
        <xdr:to>
          <xdr:col>7</xdr:col>
          <xdr:colOff>69011</xdr:colOff>
          <xdr:row>55</xdr:row>
          <xdr:rowOff>0</xdr:rowOff>
        </xdr:to>
        <xdr:sp macro="" textlink="">
          <xdr:nvSpPr>
            <xdr:cNvPr id="1237018" name="Drop Down 26" hidden="1">
              <a:extLst>
                <a:ext uri="{63B3BB69-23CF-44E3-9099-C40C66FF867C}">
                  <a14:compatExt spid="_x0000_s1237018"/>
                </a:ext>
              </a:extLst>
            </xdr:cNvPr>
            <xdr:cNvSpPr/>
          </xdr:nvSpPr>
          <xdr:spPr>
            <a:xfrm>
              <a:off x="0" y="0"/>
              <a:ext cx="0" cy="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60385</xdr:colOff>
          <xdr:row>17</xdr:row>
          <xdr:rowOff>172528</xdr:rowOff>
        </xdr:from>
        <xdr:to>
          <xdr:col>11</xdr:col>
          <xdr:colOff>345057</xdr:colOff>
          <xdr:row>19</xdr:row>
          <xdr:rowOff>0</xdr:rowOff>
        </xdr:to>
        <xdr:sp macro="" textlink="">
          <xdr:nvSpPr>
            <xdr:cNvPr id="16385" name="Check Box 1" hidden="1">
              <a:extLst>
                <a:ext uri="{63B3BB69-23CF-44E3-9099-C40C66FF867C}">
                  <a14:compatExt spid="_x0000_s163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18</xdr:row>
          <xdr:rowOff>172528</xdr:rowOff>
        </xdr:from>
        <xdr:to>
          <xdr:col>11</xdr:col>
          <xdr:colOff>345057</xdr:colOff>
          <xdr:row>20</xdr:row>
          <xdr:rowOff>8626</xdr:rowOff>
        </xdr:to>
        <xdr:sp macro="" textlink="">
          <xdr:nvSpPr>
            <xdr:cNvPr id="16386" name="Check Box 2" hidden="1">
              <a:extLst>
                <a:ext uri="{63B3BB69-23CF-44E3-9099-C40C66FF867C}">
                  <a14:compatExt spid="_x0000_s163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19</xdr:row>
          <xdr:rowOff>172528</xdr:rowOff>
        </xdr:from>
        <xdr:to>
          <xdr:col>11</xdr:col>
          <xdr:colOff>345057</xdr:colOff>
          <xdr:row>21</xdr:row>
          <xdr:rowOff>8626</xdr:rowOff>
        </xdr:to>
        <xdr:sp macro="" textlink="">
          <xdr:nvSpPr>
            <xdr:cNvPr id="16387" name="Check Box 3" hidden="1">
              <a:extLst>
                <a:ext uri="{63B3BB69-23CF-44E3-9099-C40C66FF867C}">
                  <a14:compatExt spid="_x0000_s163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20</xdr:row>
          <xdr:rowOff>172528</xdr:rowOff>
        </xdr:from>
        <xdr:to>
          <xdr:col>11</xdr:col>
          <xdr:colOff>345057</xdr:colOff>
          <xdr:row>22</xdr:row>
          <xdr:rowOff>8626</xdr:rowOff>
        </xdr:to>
        <xdr:sp macro="" textlink="">
          <xdr:nvSpPr>
            <xdr:cNvPr id="16388" name="Check Box 4" hidden="1">
              <a:extLst>
                <a:ext uri="{63B3BB69-23CF-44E3-9099-C40C66FF867C}">
                  <a14:compatExt spid="_x0000_s163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60385</xdr:colOff>
          <xdr:row>21</xdr:row>
          <xdr:rowOff>172528</xdr:rowOff>
        </xdr:from>
        <xdr:to>
          <xdr:col>11</xdr:col>
          <xdr:colOff>345057</xdr:colOff>
          <xdr:row>23</xdr:row>
          <xdr:rowOff>8626</xdr:rowOff>
        </xdr:to>
        <xdr:sp macro="" textlink="">
          <xdr:nvSpPr>
            <xdr:cNvPr id="16389" name="Check Box 5" hidden="1">
              <a:extLst>
                <a:ext uri="{63B3BB69-23CF-44E3-9099-C40C66FF867C}">
                  <a14:compatExt spid="_x0000_s163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17</xdr:row>
          <xdr:rowOff>172528</xdr:rowOff>
        </xdr:from>
        <xdr:to>
          <xdr:col>13</xdr:col>
          <xdr:colOff>345057</xdr:colOff>
          <xdr:row>19</xdr:row>
          <xdr:rowOff>0</xdr:rowOff>
        </xdr:to>
        <xdr:sp macro="" textlink="">
          <xdr:nvSpPr>
            <xdr:cNvPr id="16390" name="Check Box 6" hidden="1">
              <a:extLst>
                <a:ext uri="{63B3BB69-23CF-44E3-9099-C40C66FF867C}">
                  <a14:compatExt spid="_x0000_s163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18</xdr:row>
          <xdr:rowOff>172528</xdr:rowOff>
        </xdr:from>
        <xdr:to>
          <xdr:col>13</xdr:col>
          <xdr:colOff>345057</xdr:colOff>
          <xdr:row>20</xdr:row>
          <xdr:rowOff>8626</xdr:rowOff>
        </xdr:to>
        <xdr:sp macro="" textlink="">
          <xdr:nvSpPr>
            <xdr:cNvPr id="16391" name="Check Box 7" hidden="1">
              <a:extLst>
                <a:ext uri="{63B3BB69-23CF-44E3-9099-C40C66FF867C}">
                  <a14:compatExt spid="_x0000_s1639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19</xdr:row>
          <xdr:rowOff>172528</xdr:rowOff>
        </xdr:from>
        <xdr:to>
          <xdr:col>13</xdr:col>
          <xdr:colOff>345057</xdr:colOff>
          <xdr:row>21</xdr:row>
          <xdr:rowOff>8626</xdr:rowOff>
        </xdr:to>
        <xdr:sp macro="" textlink="">
          <xdr:nvSpPr>
            <xdr:cNvPr id="16392" name="Check Box 8" hidden="1">
              <a:extLst>
                <a:ext uri="{63B3BB69-23CF-44E3-9099-C40C66FF867C}">
                  <a14:compatExt spid="_x0000_s1639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20</xdr:row>
          <xdr:rowOff>172528</xdr:rowOff>
        </xdr:from>
        <xdr:to>
          <xdr:col>13</xdr:col>
          <xdr:colOff>345057</xdr:colOff>
          <xdr:row>22</xdr:row>
          <xdr:rowOff>8626</xdr:rowOff>
        </xdr:to>
        <xdr:sp macro="" textlink="">
          <xdr:nvSpPr>
            <xdr:cNvPr id="16393" name="Check Box 9" hidden="1">
              <a:extLst>
                <a:ext uri="{63B3BB69-23CF-44E3-9099-C40C66FF867C}">
                  <a14:compatExt spid="_x0000_s163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60385</xdr:colOff>
          <xdr:row>21</xdr:row>
          <xdr:rowOff>172528</xdr:rowOff>
        </xdr:from>
        <xdr:to>
          <xdr:col>13</xdr:col>
          <xdr:colOff>345057</xdr:colOff>
          <xdr:row>23</xdr:row>
          <xdr:rowOff>8626</xdr:rowOff>
        </xdr:to>
        <xdr:sp macro="" textlink="">
          <xdr:nvSpPr>
            <xdr:cNvPr id="16394" name="Check Box 10" hidden="1">
              <a:extLst>
                <a:ext uri="{63B3BB69-23CF-44E3-9099-C40C66FF867C}">
                  <a14:compatExt spid="_x0000_s163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17</xdr:row>
          <xdr:rowOff>172528</xdr:rowOff>
        </xdr:from>
        <xdr:to>
          <xdr:col>15</xdr:col>
          <xdr:colOff>345057</xdr:colOff>
          <xdr:row>19</xdr:row>
          <xdr:rowOff>0</xdr:rowOff>
        </xdr:to>
        <xdr:sp macro="" textlink="">
          <xdr:nvSpPr>
            <xdr:cNvPr id="16395" name="Check Box 11" hidden="1">
              <a:extLst>
                <a:ext uri="{63B3BB69-23CF-44E3-9099-C40C66FF867C}">
                  <a14:compatExt spid="_x0000_s163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18</xdr:row>
          <xdr:rowOff>172528</xdr:rowOff>
        </xdr:from>
        <xdr:to>
          <xdr:col>15</xdr:col>
          <xdr:colOff>345057</xdr:colOff>
          <xdr:row>20</xdr:row>
          <xdr:rowOff>8626</xdr:rowOff>
        </xdr:to>
        <xdr:sp macro="" textlink="">
          <xdr:nvSpPr>
            <xdr:cNvPr id="16396" name="Check Box 12" hidden="1">
              <a:extLst>
                <a:ext uri="{63B3BB69-23CF-44E3-9099-C40C66FF867C}">
                  <a14:compatExt spid="_x0000_s1639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19</xdr:row>
          <xdr:rowOff>172528</xdr:rowOff>
        </xdr:from>
        <xdr:to>
          <xdr:col>15</xdr:col>
          <xdr:colOff>345057</xdr:colOff>
          <xdr:row>21</xdr:row>
          <xdr:rowOff>8626</xdr:rowOff>
        </xdr:to>
        <xdr:sp macro="" textlink="">
          <xdr:nvSpPr>
            <xdr:cNvPr id="16397" name="Check Box 13" hidden="1">
              <a:extLst>
                <a:ext uri="{63B3BB69-23CF-44E3-9099-C40C66FF867C}">
                  <a14:compatExt spid="_x0000_s1639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20</xdr:row>
          <xdr:rowOff>172528</xdr:rowOff>
        </xdr:from>
        <xdr:to>
          <xdr:col>15</xdr:col>
          <xdr:colOff>345057</xdr:colOff>
          <xdr:row>22</xdr:row>
          <xdr:rowOff>8626</xdr:rowOff>
        </xdr:to>
        <xdr:sp macro="" textlink="">
          <xdr:nvSpPr>
            <xdr:cNvPr id="16398" name="Check Box 14" hidden="1">
              <a:extLst>
                <a:ext uri="{63B3BB69-23CF-44E3-9099-C40C66FF867C}">
                  <a14:compatExt spid="_x0000_s1639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60385</xdr:colOff>
          <xdr:row>21</xdr:row>
          <xdr:rowOff>172528</xdr:rowOff>
        </xdr:from>
        <xdr:to>
          <xdr:col>15</xdr:col>
          <xdr:colOff>345057</xdr:colOff>
          <xdr:row>23</xdr:row>
          <xdr:rowOff>8626</xdr:rowOff>
        </xdr:to>
        <xdr:sp macro="" textlink="">
          <xdr:nvSpPr>
            <xdr:cNvPr id="16399" name="Check Box 15" hidden="1">
              <a:extLst>
                <a:ext uri="{63B3BB69-23CF-44E3-9099-C40C66FF867C}">
                  <a14:compatExt spid="_x0000_s1639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44</xdr:row>
          <xdr:rowOff>0</xdr:rowOff>
        </xdr:from>
        <xdr:to>
          <xdr:col>6</xdr:col>
          <xdr:colOff>655608</xdr:colOff>
          <xdr:row>45</xdr:row>
          <xdr:rowOff>25879</xdr:rowOff>
        </xdr:to>
        <xdr:sp macro="" textlink="">
          <xdr:nvSpPr>
            <xdr:cNvPr id="16400" name="Drop Down 16" hidden="1">
              <a:extLst>
                <a:ext uri="{63B3BB69-23CF-44E3-9099-C40C66FF867C}">
                  <a14:compatExt spid="_x0000_s16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45</xdr:row>
          <xdr:rowOff>0</xdr:rowOff>
        </xdr:from>
        <xdr:to>
          <xdr:col>6</xdr:col>
          <xdr:colOff>655608</xdr:colOff>
          <xdr:row>46</xdr:row>
          <xdr:rowOff>25879</xdr:rowOff>
        </xdr:to>
        <xdr:sp macro="" textlink="">
          <xdr:nvSpPr>
            <xdr:cNvPr id="16401" name="Drop Down 17" hidden="1">
              <a:extLst>
                <a:ext uri="{63B3BB69-23CF-44E3-9099-C40C66FF867C}">
                  <a14:compatExt spid="_x0000_s16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46</xdr:row>
          <xdr:rowOff>8626</xdr:rowOff>
        </xdr:from>
        <xdr:to>
          <xdr:col>6</xdr:col>
          <xdr:colOff>655608</xdr:colOff>
          <xdr:row>47</xdr:row>
          <xdr:rowOff>25879</xdr:rowOff>
        </xdr:to>
        <xdr:sp macro="" textlink="">
          <xdr:nvSpPr>
            <xdr:cNvPr id="16402" name="Drop Down 18" hidden="1">
              <a:extLst>
                <a:ext uri="{63B3BB69-23CF-44E3-9099-C40C66FF867C}">
                  <a14:compatExt spid="_x0000_s16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47</xdr:row>
          <xdr:rowOff>8626</xdr:rowOff>
        </xdr:from>
        <xdr:to>
          <xdr:col>6</xdr:col>
          <xdr:colOff>655608</xdr:colOff>
          <xdr:row>48</xdr:row>
          <xdr:rowOff>25879</xdr:rowOff>
        </xdr:to>
        <xdr:sp macro="" textlink="">
          <xdr:nvSpPr>
            <xdr:cNvPr id="16403" name="Drop Down 19" hidden="1">
              <a:extLst>
                <a:ext uri="{63B3BB69-23CF-44E3-9099-C40C66FF867C}">
                  <a14:compatExt spid="_x0000_s16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48</xdr:row>
          <xdr:rowOff>8626</xdr:rowOff>
        </xdr:from>
        <xdr:to>
          <xdr:col>6</xdr:col>
          <xdr:colOff>655608</xdr:colOff>
          <xdr:row>49</xdr:row>
          <xdr:rowOff>25879</xdr:rowOff>
        </xdr:to>
        <xdr:sp macro="" textlink="">
          <xdr:nvSpPr>
            <xdr:cNvPr id="16404" name="Drop Down 20" hidden="1">
              <a:extLst>
                <a:ext uri="{63B3BB69-23CF-44E3-9099-C40C66FF867C}">
                  <a14:compatExt spid="_x0000_s16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49</xdr:row>
          <xdr:rowOff>8626</xdr:rowOff>
        </xdr:from>
        <xdr:to>
          <xdr:col>6</xdr:col>
          <xdr:colOff>655608</xdr:colOff>
          <xdr:row>50</xdr:row>
          <xdr:rowOff>25879</xdr:rowOff>
        </xdr:to>
        <xdr:sp macro="" textlink="">
          <xdr:nvSpPr>
            <xdr:cNvPr id="16405" name="Drop Down 21" hidden="1">
              <a:extLst>
                <a:ext uri="{63B3BB69-23CF-44E3-9099-C40C66FF867C}">
                  <a14:compatExt spid="_x0000_s16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50</xdr:row>
          <xdr:rowOff>25879</xdr:rowOff>
        </xdr:from>
        <xdr:to>
          <xdr:col>6</xdr:col>
          <xdr:colOff>655608</xdr:colOff>
          <xdr:row>51</xdr:row>
          <xdr:rowOff>34506</xdr:rowOff>
        </xdr:to>
        <xdr:sp macro="" textlink="">
          <xdr:nvSpPr>
            <xdr:cNvPr id="16406" name="Drop Down 22" hidden="1">
              <a:extLst>
                <a:ext uri="{63B3BB69-23CF-44E3-9099-C40C66FF867C}">
                  <a14:compatExt spid="_x0000_s16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51</xdr:row>
          <xdr:rowOff>25879</xdr:rowOff>
        </xdr:from>
        <xdr:to>
          <xdr:col>6</xdr:col>
          <xdr:colOff>655608</xdr:colOff>
          <xdr:row>52</xdr:row>
          <xdr:rowOff>34506</xdr:rowOff>
        </xdr:to>
        <xdr:sp macro="" textlink="">
          <xdr:nvSpPr>
            <xdr:cNvPr id="16407" name="Drop Down 23" hidden="1">
              <a:extLst>
                <a:ext uri="{63B3BB69-23CF-44E3-9099-C40C66FF867C}">
                  <a14:compatExt spid="_x0000_s16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52</xdr:row>
          <xdr:rowOff>25879</xdr:rowOff>
        </xdr:from>
        <xdr:to>
          <xdr:col>6</xdr:col>
          <xdr:colOff>655608</xdr:colOff>
          <xdr:row>53</xdr:row>
          <xdr:rowOff>34506</xdr:rowOff>
        </xdr:to>
        <xdr:sp macro="" textlink="">
          <xdr:nvSpPr>
            <xdr:cNvPr id="16408" name="Drop Down 24" hidden="1">
              <a:extLst>
                <a:ext uri="{63B3BB69-23CF-44E3-9099-C40C66FF867C}">
                  <a14:compatExt spid="_x0000_s16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53</xdr:row>
          <xdr:rowOff>8626</xdr:rowOff>
        </xdr:from>
        <xdr:to>
          <xdr:col>6</xdr:col>
          <xdr:colOff>655608</xdr:colOff>
          <xdr:row>54</xdr:row>
          <xdr:rowOff>25879</xdr:rowOff>
        </xdr:to>
        <xdr:sp macro="" textlink="">
          <xdr:nvSpPr>
            <xdr:cNvPr id="16409" name="Drop Down 25" hidden="1">
              <a:extLst>
                <a:ext uri="{63B3BB69-23CF-44E3-9099-C40C66FF867C}">
                  <a14:compatExt spid="_x0000_s16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8626</xdr:colOff>
          <xdr:row>54</xdr:row>
          <xdr:rowOff>8626</xdr:rowOff>
        </xdr:from>
        <xdr:to>
          <xdr:col>6</xdr:col>
          <xdr:colOff>655608</xdr:colOff>
          <xdr:row>55</xdr:row>
          <xdr:rowOff>25879</xdr:rowOff>
        </xdr:to>
        <xdr:sp macro="" textlink="">
          <xdr:nvSpPr>
            <xdr:cNvPr id="16410" name="Drop Down 26" hidden="1">
              <a:extLst>
                <a:ext uri="{63B3BB69-23CF-44E3-9099-C40C66FF867C}">
                  <a14:compatExt spid="_x0000_s16410"/>
                </a:ext>
              </a:extLst>
            </xdr:cNvPr>
            <xdr:cNvSpPr/>
          </xdr:nvSpPr>
          <xdr:spPr>
            <a:xfrm>
              <a:off x="0" y="0"/>
              <a:ext cx="0" cy="0"/>
            </a:xfrm>
            <a:prstGeom prst="rect">
              <a:avLst/>
            </a:prstGeom>
          </xdr:spPr>
        </xdr:sp>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cdr:x>
      <cdr:y>0.89677</cdr:y>
    </cdr:from>
    <cdr:to>
      <cdr:x>0.995</cdr:x>
      <cdr:y>0.99183</cdr:y>
    </cdr:to>
    <cdr:sp macro="" textlink="">
      <cdr:nvSpPr>
        <cdr:cNvPr id="27652" name="Text Box 4"/>
        <cdr:cNvSpPr txBox="1">
          <a:spLocks xmlns:a="http://schemas.openxmlformats.org/drawingml/2006/main" noChangeArrowheads="1"/>
        </cdr:cNvSpPr>
      </cdr:nvSpPr>
      <cdr:spPr bwMode="auto">
        <a:xfrm xmlns:a="http://schemas.openxmlformats.org/drawingml/2006/main">
          <a:off x="0" y="8527282"/>
          <a:ext cx="16050741" cy="9039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800" b="0" i="0" u="none" strike="noStrike" baseline="0">
              <a:solidFill>
                <a:srgbClr val="000000"/>
              </a:solidFill>
              <a:latin typeface="Arial"/>
              <a:cs typeface="Arial"/>
            </a:rPr>
            <a:t>1) inklusive aller Ausgleichsleistungen (verfahrensspezifische Ausgleichsleistungen wie FAKT, AZL, sowie Prämien aus ZAen(270 €))</a:t>
          </a:r>
        </a:p>
        <a:p xmlns:a="http://schemas.openxmlformats.org/drawingml/2006/main">
          <a:pPr algn="l" rtl="0">
            <a:defRPr sz="1000"/>
          </a:pPr>
          <a:r>
            <a:rPr lang="de-DE" sz="1800" b="0" i="0" u="none" strike="noStrike" baseline="0">
              <a:solidFill>
                <a:srgbClr val="000000"/>
              </a:solidFill>
              <a:latin typeface="Arial"/>
              <a:cs typeface="Arial"/>
            </a:rPr>
            <a:t>2) </a:t>
          </a:r>
          <a:r>
            <a:rPr lang="de-DE" sz="1800" b="0" i="0" u="none" strike="noStrike" baseline="0">
              <a:solidFill>
                <a:srgbClr val="000000"/>
              </a:solidFill>
              <a:latin typeface="Arial" panose="020B0604020202020204" pitchFamily="34" charset="0"/>
              <a:cs typeface="Arial" panose="020B0604020202020204" pitchFamily="34" charset="0"/>
            </a:rPr>
            <a:t>Preise für Kraftfuttermittel: Futtergerste 33 €/dt; MLF 16:3, 6,7 MJ/NEL/ kg FM </a:t>
          </a:r>
          <a:r>
            <a:rPr lang="de-DE" sz="1800" b="0" i="0" baseline="0">
              <a:effectLst/>
              <a:latin typeface="Arial" panose="020B0604020202020204" pitchFamily="34" charset="0"/>
              <a:ea typeface="+mn-ea"/>
              <a:cs typeface="Arial" panose="020B0604020202020204" pitchFamily="34" charset="0"/>
            </a:rPr>
            <a:t> </a:t>
          </a:r>
          <a:r>
            <a:rPr lang="de-DE" sz="1800" b="0" i="0" u="none" strike="noStrike" baseline="0">
              <a:solidFill>
                <a:srgbClr val="000000"/>
              </a:solidFill>
              <a:latin typeface="Arial" panose="020B0604020202020204" pitchFamily="34" charset="0"/>
              <a:cs typeface="Arial" panose="020B0604020202020204" pitchFamily="34" charset="0"/>
            </a:rPr>
            <a:t>41,00 €/dt;</a:t>
          </a:r>
        </a:p>
        <a:p xmlns:a="http://schemas.openxmlformats.org/drawingml/2006/main">
          <a:pPr algn="l" rtl="0">
            <a:defRPr sz="1000"/>
          </a:pPr>
          <a:r>
            <a:rPr lang="de-DE" sz="1800" b="0" i="0" baseline="0">
              <a:effectLst/>
              <a:latin typeface="Arial" panose="020B0604020202020204" pitchFamily="34" charset="0"/>
              <a:ea typeface="+mn-ea"/>
              <a:cs typeface="Arial" panose="020B0604020202020204" pitchFamily="34" charset="0"/>
            </a:rPr>
            <a:t>Quetschen bei Getreide bzw. Eigenmischung, 2,50 €/dt)</a:t>
          </a:r>
          <a:r>
            <a:rPr lang="de-DE" sz="1800" b="0" i="0" u="none" strike="noStrike" baseline="0">
              <a:solidFill>
                <a:srgbClr val="000000"/>
              </a:solidFill>
              <a:effectLst/>
              <a:latin typeface="Arial" panose="020B0604020202020204" pitchFamily="34" charset="0"/>
              <a:ea typeface="+mn-ea"/>
              <a:cs typeface="Arial" panose="020B0604020202020204" pitchFamily="34" charset="0"/>
            </a:rPr>
            <a:t>  -all</a:t>
          </a:r>
          <a:r>
            <a:rPr lang="de-DE" sz="1800" b="0" i="0" u="none" strike="noStrike" baseline="0">
              <a:solidFill>
                <a:srgbClr val="000000"/>
              </a:solidFill>
              <a:latin typeface="Arial" panose="020B0604020202020204" pitchFamily="34" charset="0"/>
              <a:cs typeface="Arial" panose="020B0604020202020204" pitchFamily="34" charset="0"/>
            </a:rPr>
            <a:t>e Preise inkl. Mwst. -                                                                                          </a:t>
          </a:r>
          <a:r>
            <a:rPr lang="de-DE" sz="1800" b="1" i="0" u="none" strike="noStrike" baseline="0">
              <a:solidFill>
                <a:srgbClr val="000000"/>
              </a:solidFill>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0.4903</cdr:x>
      <cdr:y>0.47152</cdr:y>
    </cdr:from>
    <cdr:to>
      <cdr:x>0.49975</cdr:x>
      <cdr:y>0.53046</cdr:y>
    </cdr:to>
    <cdr:sp macro="" textlink="">
      <cdr:nvSpPr>
        <cdr:cNvPr id="27654" name="Text Box 6"/>
        <cdr:cNvSpPr txBox="1">
          <a:spLocks xmlns:a="http://schemas.openxmlformats.org/drawingml/2006/main" noChangeArrowheads="1"/>
        </cdr:cNvSpPr>
      </cdr:nvSpPr>
      <cdr:spPr bwMode="auto">
        <a:xfrm xmlns:a="http://schemas.openxmlformats.org/drawingml/2006/main">
          <a:off x="9343366" y="4727980"/>
          <a:ext cx="180070" cy="5905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73152" tIns="59436" rIns="73152" bIns="59436" anchor="ctr" upright="1"/>
        <a:lstStyle xmlns:a="http://schemas.openxmlformats.org/drawingml/2006/main"/>
        <a:p xmlns:a="http://schemas.openxmlformats.org/drawingml/2006/main">
          <a:pPr algn="ctr" rtl="0">
            <a:defRPr sz="1000"/>
          </a:pPr>
          <a:r>
            <a:rPr lang="de-DE" sz="3650" b="0" i="0" u="none" strike="noStrike" baseline="0">
              <a:solidFill>
                <a:srgbClr val="000000"/>
              </a:solidFill>
              <a:latin typeface="Arial"/>
              <a:cs typeface="Arial"/>
            </a:rPr>
            <a:t> </a:t>
          </a:r>
        </a:p>
      </cdr:txBody>
    </cdr:sp>
  </cdr:relSizeAnchor>
  <cdr:relSizeAnchor xmlns:cdr="http://schemas.openxmlformats.org/drawingml/2006/chartDrawing">
    <cdr:from>
      <cdr:x>0.90331</cdr:x>
      <cdr:y>0.88171</cdr:y>
    </cdr:from>
    <cdr:to>
      <cdr:x>0.98678</cdr:x>
      <cdr:y>0.99312</cdr:y>
    </cdr:to>
    <cdr:pic>
      <cdr:nvPicPr>
        <cdr:cNvPr id="2" name="Grafik 1"/>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5213859" y="7719033"/>
          <a:ext cx="1405825" cy="975324"/>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0.76636</cdr:x>
      <cdr:y>0.09732</cdr:y>
    </cdr:from>
    <cdr:to>
      <cdr:x>0.99214</cdr:x>
      <cdr:y>0.77649</cdr:y>
    </cdr:to>
    <cdr:sp macro="" textlink="">
      <cdr:nvSpPr>
        <cdr:cNvPr id="27652" name="Text Box 4"/>
        <cdr:cNvSpPr txBox="1">
          <a:spLocks xmlns:a="http://schemas.openxmlformats.org/drawingml/2006/main" noChangeArrowheads="1"/>
        </cdr:cNvSpPr>
      </cdr:nvSpPr>
      <cdr:spPr bwMode="auto">
        <a:xfrm xmlns:a="http://schemas.openxmlformats.org/drawingml/2006/main">
          <a:off x="12208571" y="986823"/>
          <a:ext cx="3596776" cy="6886511"/>
        </a:xfrm>
        <a:prstGeom xmlns:a="http://schemas.openxmlformats.org/drawingml/2006/main" prst="rect">
          <a:avLst/>
        </a:prstGeom>
        <a:solidFill xmlns:a="http://schemas.openxmlformats.org/drawingml/2006/main">
          <a:srgbClr val="CCFFCC"/>
        </a:solidFill>
        <a:ln xmlns:a="http://schemas.openxmlformats.org/drawingml/2006/main">
          <a:noFill/>
        </a:ln>
        <a:ex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r>
            <a:rPr lang="de-DE" sz="1600" b="0" i="0" u="none" strike="noStrike" baseline="0">
              <a:solidFill>
                <a:srgbClr val="000000"/>
              </a:solidFill>
              <a:latin typeface="Arial"/>
              <a:cs typeface="Arial"/>
            </a:rPr>
            <a:t>1) abzüglich aller Ausgleichsleistungen (verfahrensspezifische Ausgleichsleistungen wie FAKT, AZL, sowie Prämien aus ZAen(270 €))</a:t>
          </a:r>
        </a:p>
        <a:p xmlns:a="http://schemas.openxmlformats.org/drawingml/2006/main">
          <a:pPr algn="l" rtl="0">
            <a:defRPr sz="1000"/>
          </a:pPr>
          <a:endParaRPr lang="de-DE" sz="1600" b="0" i="0" u="none" strike="noStrike" baseline="0">
            <a:solidFill>
              <a:srgbClr val="000000"/>
            </a:solidFill>
            <a:latin typeface="Arial"/>
            <a:cs typeface="Arial"/>
          </a:endParaRPr>
        </a:p>
        <a:p xmlns:a="http://schemas.openxmlformats.org/drawingml/2006/main">
          <a:pPr algn="l" rtl="0">
            <a:defRPr sz="1000"/>
          </a:pPr>
          <a:r>
            <a:rPr lang="de-DE" sz="1600" b="0" i="0" u="none" strike="noStrike" baseline="0">
              <a:solidFill>
                <a:srgbClr val="000000"/>
              </a:solidFill>
              <a:latin typeface="Arial"/>
              <a:cs typeface="Arial"/>
            </a:rPr>
            <a:t>2) Preise für Kraftfuttermittel </a:t>
          </a:r>
        </a:p>
        <a:p xmlns:a="http://schemas.openxmlformats.org/drawingml/2006/main">
          <a:pPr algn="l" rtl="0">
            <a:defRPr sz="1000"/>
          </a:pPr>
          <a:r>
            <a:rPr lang="de-DE" sz="1600" b="0" i="0" u="none" strike="noStrike" baseline="0">
              <a:solidFill>
                <a:srgbClr val="000000"/>
              </a:solidFill>
              <a:latin typeface="Arial"/>
              <a:cs typeface="Arial"/>
            </a:rPr>
            <a:t>Futtergerste 33 €/dt; MLF 16:3, 6,7 MJ/NEL/kg  FM    41,00 €/dt</a:t>
          </a:r>
          <a:r>
            <a:rPr lang="de-DE" sz="1600" b="0" i="0" u="none" strike="noStrike" baseline="0">
              <a:solidFill>
                <a:srgbClr val="000000"/>
              </a:solidFill>
              <a:latin typeface="Arial" panose="020B0604020202020204" pitchFamily="34" charset="0"/>
              <a:cs typeface="Arial" panose="020B0604020202020204" pitchFamily="34" charset="0"/>
            </a:rPr>
            <a:t>; </a:t>
          </a:r>
          <a:r>
            <a:rPr lang="de-DE" sz="1600" b="0" i="0" baseline="0">
              <a:effectLst/>
              <a:latin typeface="Arial" panose="020B0604020202020204" pitchFamily="34" charset="0"/>
              <a:ea typeface="+mn-ea"/>
              <a:cs typeface="Arial" panose="020B0604020202020204" pitchFamily="34" charset="0"/>
            </a:rPr>
            <a:t>(Quetschen bei Getreide bzw. Eigenmischung, 2,50 €/dt)</a:t>
          </a:r>
        </a:p>
        <a:p xmlns:a="http://schemas.openxmlformats.org/drawingml/2006/main">
          <a:pPr algn="l" rtl="0">
            <a:defRPr sz="1000"/>
          </a:pPr>
          <a:r>
            <a:rPr lang="de-DE" sz="1600" b="0" i="0" u="none" strike="noStrike" baseline="0">
              <a:solidFill>
                <a:srgbClr val="000000"/>
              </a:solidFill>
              <a:effectLst/>
              <a:latin typeface="Arial" panose="020B0604020202020204" pitchFamily="34" charset="0"/>
              <a:ea typeface="+mn-ea"/>
              <a:cs typeface="Arial" panose="020B0604020202020204" pitchFamily="34" charset="0"/>
            </a:rPr>
            <a:t>-</a:t>
          </a:r>
          <a:r>
            <a:rPr lang="de-DE" sz="1600" b="0" i="0" u="none" strike="noStrike" baseline="0">
              <a:solidFill>
                <a:srgbClr val="000000"/>
              </a:solidFill>
              <a:latin typeface="Arial" panose="020B0604020202020204" pitchFamily="34" charset="0"/>
              <a:cs typeface="Arial" panose="020B0604020202020204" pitchFamily="34" charset="0"/>
            </a:rPr>
            <a:t> alle Preise inkl. </a:t>
          </a:r>
          <a:r>
            <a:rPr lang="de-DE" sz="1600" b="0" i="0" u="none" strike="noStrike" baseline="0">
              <a:solidFill>
                <a:srgbClr val="000000"/>
              </a:solidFill>
              <a:latin typeface="Arial"/>
              <a:cs typeface="Arial"/>
            </a:rPr>
            <a:t>Mwst.-                                                                                                       </a:t>
          </a:r>
          <a:r>
            <a:rPr lang="de-DE" sz="1600" b="1" i="0" u="none" strike="noStrike" baseline="0">
              <a:solidFill>
                <a:srgbClr val="000000"/>
              </a:solidFill>
              <a:latin typeface="Arial"/>
              <a:cs typeface="Arial"/>
            </a:rPr>
            <a:t> </a:t>
          </a:r>
        </a:p>
      </cdr:txBody>
    </cdr:sp>
  </cdr:relSizeAnchor>
  <cdr:relSizeAnchor xmlns:cdr="http://schemas.openxmlformats.org/drawingml/2006/chartDrawing">
    <cdr:from>
      <cdr:x>0.4903</cdr:x>
      <cdr:y>0.47152</cdr:y>
    </cdr:from>
    <cdr:to>
      <cdr:x>0.49975</cdr:x>
      <cdr:y>0.53046</cdr:y>
    </cdr:to>
    <cdr:sp macro="" textlink="">
      <cdr:nvSpPr>
        <cdr:cNvPr id="27654" name="Text Box 6"/>
        <cdr:cNvSpPr txBox="1">
          <a:spLocks xmlns:a="http://schemas.openxmlformats.org/drawingml/2006/main" noChangeArrowheads="1"/>
        </cdr:cNvSpPr>
      </cdr:nvSpPr>
      <cdr:spPr bwMode="auto">
        <a:xfrm xmlns:a="http://schemas.openxmlformats.org/drawingml/2006/main">
          <a:off x="9343366" y="4727980"/>
          <a:ext cx="180070" cy="5905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73152" tIns="59436" rIns="73152" bIns="59436" anchor="ctr" upright="1"/>
        <a:lstStyle xmlns:a="http://schemas.openxmlformats.org/drawingml/2006/main"/>
        <a:p xmlns:a="http://schemas.openxmlformats.org/drawingml/2006/main">
          <a:pPr algn="ctr" rtl="0">
            <a:defRPr sz="1000"/>
          </a:pPr>
          <a:r>
            <a:rPr lang="de-DE" sz="3650" b="0" i="0" u="none" strike="noStrike" baseline="0">
              <a:solidFill>
                <a:srgbClr val="000000"/>
              </a:solidFill>
              <a:latin typeface="Arial"/>
              <a:cs typeface="Arial"/>
            </a:rPr>
            <a:t> </a:t>
          </a:r>
        </a:p>
      </cdr:txBody>
    </cdr:sp>
  </cdr:relSizeAnchor>
  <cdr:relSizeAnchor xmlns:cdr="http://schemas.openxmlformats.org/drawingml/2006/chartDrawing">
    <cdr:from>
      <cdr:x>0.91567</cdr:x>
      <cdr:y>0.89911</cdr:y>
    </cdr:from>
    <cdr:to>
      <cdr:x>0.9961</cdr:x>
      <cdr:y>0.99385</cdr:y>
    </cdr:to>
    <cdr:pic>
      <cdr:nvPicPr>
        <cdr:cNvPr id="5" name="Grafik 4"/>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5396476" y="8904783"/>
          <a:ext cx="1352431" cy="93828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3</xdr:col>
      <xdr:colOff>672859</xdr:colOff>
      <xdr:row>29</xdr:row>
      <xdr:rowOff>17257</xdr:rowOff>
    </xdr:from>
    <xdr:to>
      <xdr:col>11</xdr:col>
      <xdr:colOff>17252</xdr:colOff>
      <xdr:row>29</xdr:row>
      <xdr:rowOff>248873</xdr:rowOff>
    </xdr:to>
    <xdr:sp macro="" textlink="">
      <xdr:nvSpPr>
        <xdr:cNvPr id="2" name="Geschweifte Klammer rechts 1"/>
        <xdr:cNvSpPr/>
      </xdr:nvSpPr>
      <xdr:spPr bwMode="auto">
        <a:xfrm rot="5400000">
          <a:off x="4736550" y="2095574"/>
          <a:ext cx="231616" cy="4304581"/>
        </a:xfrm>
        <a:prstGeom prst="rightBrace">
          <a:avLst/>
        </a:prstGeom>
        <a:solidFill>
          <a:srgbClr xmlns:mc="http://schemas.openxmlformats.org/markup-compatibility/2006" xmlns:a14="http://schemas.microsoft.com/office/drawing/2010/main" val="FFFFFF" mc:Ignorable="a14" a14:legacySpreadsheetColorIndex="9"/>
        </a:solidFill>
        <a:ln w="254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1785668</xdr:colOff>
          <xdr:row>19</xdr:row>
          <xdr:rowOff>146649</xdr:rowOff>
        </xdr:from>
        <xdr:to>
          <xdr:col>6</xdr:col>
          <xdr:colOff>2001328</xdr:colOff>
          <xdr:row>20</xdr:row>
          <xdr:rowOff>198408</xdr:rowOff>
        </xdr:to>
        <xdr:sp macro="" textlink="">
          <xdr:nvSpPr>
            <xdr:cNvPr id="1497093" name="Check Box 5" hidden="1">
              <a:extLst>
                <a:ext uri="{63B3BB69-23CF-44E3-9099-C40C66FF867C}">
                  <a14:compatExt spid="_x0000_s1497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526211</xdr:colOff>
          <xdr:row>19</xdr:row>
          <xdr:rowOff>155275</xdr:rowOff>
        </xdr:from>
        <xdr:to>
          <xdr:col>8</xdr:col>
          <xdr:colOff>733245</xdr:colOff>
          <xdr:row>20</xdr:row>
          <xdr:rowOff>172528</xdr:rowOff>
        </xdr:to>
        <xdr:sp macro="" textlink="">
          <xdr:nvSpPr>
            <xdr:cNvPr id="1497094" name="Check Box 6" hidden="1">
              <a:extLst>
                <a:ext uri="{63B3BB69-23CF-44E3-9099-C40C66FF867C}">
                  <a14:compatExt spid="_x0000_s1497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60385</xdr:colOff>
          <xdr:row>3</xdr:row>
          <xdr:rowOff>69011</xdr:rowOff>
        </xdr:from>
        <xdr:to>
          <xdr:col>12</xdr:col>
          <xdr:colOff>715992</xdr:colOff>
          <xdr:row>3</xdr:row>
          <xdr:rowOff>232913</xdr:rowOff>
        </xdr:to>
        <xdr:sp macro="" textlink="">
          <xdr:nvSpPr>
            <xdr:cNvPr id="1497095" name="Drop Down 7" hidden="1">
              <a:extLst>
                <a:ext uri="{63B3BB69-23CF-44E3-9099-C40C66FF867C}">
                  <a14:compatExt spid="_x0000_s149709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34805</xdr:colOff>
      <xdr:row>25</xdr:row>
      <xdr:rowOff>10518</xdr:rowOff>
    </xdr:from>
    <xdr:to>
      <xdr:col>1</xdr:col>
      <xdr:colOff>330567</xdr:colOff>
      <xdr:row>31</xdr:row>
      <xdr:rowOff>53651</xdr:rowOff>
    </xdr:to>
    <xdr:sp macro="" textlink="">
      <xdr:nvSpPr>
        <xdr:cNvPr id="2" name="Textfeld 1"/>
        <xdr:cNvSpPr txBox="1"/>
      </xdr:nvSpPr>
      <xdr:spPr>
        <a:xfrm rot="16200000">
          <a:off x="-361540" y="6191636"/>
          <a:ext cx="1372615" cy="2957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solidFill>
                <a:schemeClr val="dk1"/>
              </a:solidFill>
              <a:effectLst/>
              <a:latin typeface="+mn-lt"/>
              <a:ea typeface="+mn-ea"/>
              <a:cs typeface="+mn-cs"/>
            </a:rPr>
            <a:t>Bodenbearbeitung</a:t>
          </a:r>
          <a:endParaRPr lang="de-DE" sz="1200"/>
        </a:p>
      </xdr:txBody>
    </xdr:sp>
    <xdr:clientData/>
  </xdr:twoCellAnchor>
  <xdr:twoCellAnchor>
    <xdr:from>
      <xdr:col>1</xdr:col>
      <xdr:colOff>42731</xdr:colOff>
      <xdr:row>70</xdr:row>
      <xdr:rowOff>98592</xdr:rowOff>
    </xdr:from>
    <xdr:to>
      <xdr:col>1</xdr:col>
      <xdr:colOff>308088</xdr:colOff>
      <xdr:row>73</xdr:row>
      <xdr:rowOff>2</xdr:rowOff>
    </xdr:to>
    <xdr:sp macro="" textlink="">
      <xdr:nvSpPr>
        <xdr:cNvPr id="8" name="Textfeld 7"/>
        <xdr:cNvSpPr txBox="1"/>
      </xdr:nvSpPr>
      <xdr:spPr>
        <a:xfrm rot="16200000">
          <a:off x="26298" y="15711584"/>
          <a:ext cx="574270" cy="265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Rüben</a:t>
          </a:r>
        </a:p>
      </xdr:txBody>
    </xdr:sp>
    <xdr:clientData/>
  </xdr:twoCellAnchor>
  <xdr:twoCellAnchor>
    <xdr:from>
      <xdr:col>1</xdr:col>
      <xdr:colOff>44949</xdr:colOff>
      <xdr:row>73</xdr:row>
      <xdr:rowOff>20297</xdr:rowOff>
    </xdr:from>
    <xdr:to>
      <xdr:col>1</xdr:col>
      <xdr:colOff>328390</xdr:colOff>
      <xdr:row>78</xdr:row>
      <xdr:rowOff>22475</xdr:rowOff>
    </xdr:to>
    <xdr:sp macro="" textlink="">
      <xdr:nvSpPr>
        <xdr:cNvPr id="10" name="Textfeld 9"/>
        <xdr:cNvSpPr txBox="1"/>
      </xdr:nvSpPr>
      <xdr:spPr>
        <a:xfrm rot="16200000">
          <a:off x="-189922" y="16746844"/>
          <a:ext cx="1037348" cy="283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Transport</a:t>
          </a:r>
        </a:p>
      </xdr:txBody>
    </xdr:sp>
    <xdr:clientData/>
  </xdr:twoCellAnchor>
  <xdr:twoCellAnchor>
    <xdr:from>
      <xdr:col>1</xdr:col>
      <xdr:colOff>8872</xdr:colOff>
      <xdr:row>49</xdr:row>
      <xdr:rowOff>57808</xdr:rowOff>
    </xdr:from>
    <xdr:to>
      <xdr:col>1</xdr:col>
      <xdr:colOff>287793</xdr:colOff>
      <xdr:row>57</xdr:row>
      <xdr:rowOff>207330</xdr:rowOff>
    </xdr:to>
    <xdr:sp macro="" textlink="">
      <xdr:nvSpPr>
        <xdr:cNvPr id="11" name="Textfeld 10"/>
        <xdr:cNvSpPr txBox="1"/>
      </xdr:nvSpPr>
      <xdr:spPr>
        <a:xfrm rot="16200000">
          <a:off x="-677434" y="11877264"/>
          <a:ext cx="1935698" cy="278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Futterwerbung</a:t>
          </a:r>
        </a:p>
      </xdr:txBody>
    </xdr:sp>
    <xdr:clientData/>
  </xdr:twoCellAnchor>
  <xdr:twoCellAnchor>
    <xdr:from>
      <xdr:col>1</xdr:col>
      <xdr:colOff>34800</xdr:colOff>
      <xdr:row>36</xdr:row>
      <xdr:rowOff>216007</xdr:rowOff>
    </xdr:from>
    <xdr:to>
      <xdr:col>1</xdr:col>
      <xdr:colOff>333438</xdr:colOff>
      <xdr:row>45</xdr:row>
      <xdr:rowOff>174709</xdr:rowOff>
    </xdr:to>
    <xdr:sp macro="" textlink="">
      <xdr:nvSpPr>
        <xdr:cNvPr id="12" name="Textfeld 11"/>
        <xdr:cNvSpPr txBox="1"/>
      </xdr:nvSpPr>
      <xdr:spPr>
        <a:xfrm rot="16200000">
          <a:off x="-657874" y="9139296"/>
          <a:ext cx="1968149" cy="298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Pflege</a:t>
          </a:r>
        </a:p>
      </xdr:txBody>
    </xdr:sp>
    <xdr:clientData/>
  </xdr:twoCellAnchor>
  <xdr:twoCellAnchor>
    <xdr:from>
      <xdr:col>1</xdr:col>
      <xdr:colOff>28061</xdr:colOff>
      <xdr:row>31</xdr:row>
      <xdr:rowOff>59447</xdr:rowOff>
    </xdr:from>
    <xdr:to>
      <xdr:col>1</xdr:col>
      <xdr:colOff>310266</xdr:colOff>
      <xdr:row>36</xdr:row>
      <xdr:rowOff>207329</xdr:rowOff>
    </xdr:to>
    <xdr:sp macro="" textlink="">
      <xdr:nvSpPr>
        <xdr:cNvPr id="13" name="Textfeld 12"/>
        <xdr:cNvSpPr txBox="1"/>
      </xdr:nvSpPr>
      <xdr:spPr>
        <a:xfrm rot="16200000">
          <a:off x="-320875" y="7522638"/>
          <a:ext cx="1264242" cy="282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Bestellung</a:t>
          </a:r>
        </a:p>
      </xdr:txBody>
    </xdr:sp>
    <xdr:clientData/>
  </xdr:twoCellAnchor>
  <xdr:twoCellAnchor>
    <xdr:from>
      <xdr:col>1</xdr:col>
      <xdr:colOff>30405</xdr:colOff>
      <xdr:row>45</xdr:row>
      <xdr:rowOff>199351</xdr:rowOff>
    </xdr:from>
    <xdr:to>
      <xdr:col>1</xdr:col>
      <xdr:colOff>308089</xdr:colOff>
      <xdr:row>49</xdr:row>
      <xdr:rowOff>63794</xdr:rowOff>
    </xdr:to>
    <xdr:sp macro="" textlink="">
      <xdr:nvSpPr>
        <xdr:cNvPr id="14" name="Textfeld 13"/>
        <xdr:cNvSpPr txBox="1"/>
      </xdr:nvSpPr>
      <xdr:spPr>
        <a:xfrm rot="16200000">
          <a:off x="-67437" y="10537255"/>
          <a:ext cx="757531" cy="2776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Weide</a:t>
          </a:r>
        </a:p>
      </xdr:txBody>
    </xdr:sp>
    <xdr:clientData/>
  </xdr:twoCellAnchor>
  <xdr:twoCellAnchor>
    <xdr:from>
      <xdr:col>1</xdr:col>
      <xdr:colOff>13392</xdr:colOff>
      <xdr:row>57</xdr:row>
      <xdr:rowOff>216009</xdr:rowOff>
    </xdr:from>
    <xdr:to>
      <xdr:col>1</xdr:col>
      <xdr:colOff>287793</xdr:colOff>
      <xdr:row>68</xdr:row>
      <xdr:rowOff>2182</xdr:rowOff>
    </xdr:to>
    <xdr:sp macro="" textlink="">
      <xdr:nvSpPr>
        <xdr:cNvPr id="15" name="Textfeld 14"/>
        <xdr:cNvSpPr txBox="1"/>
      </xdr:nvSpPr>
      <xdr:spPr>
        <a:xfrm rot="16200000">
          <a:off x="-828407" y="13977134"/>
          <a:ext cx="2242163" cy="27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Futterbergung</a:t>
          </a:r>
        </a:p>
      </xdr:txBody>
    </xdr:sp>
    <xdr:clientData/>
  </xdr:twoCellAnchor>
  <xdr:twoCellAnchor>
    <xdr:from>
      <xdr:col>1</xdr:col>
      <xdr:colOff>16804</xdr:colOff>
      <xdr:row>68</xdr:row>
      <xdr:rowOff>26826</xdr:rowOff>
    </xdr:from>
    <xdr:to>
      <xdr:col>1</xdr:col>
      <xdr:colOff>289967</xdr:colOff>
      <xdr:row>70</xdr:row>
      <xdr:rowOff>112894</xdr:rowOff>
    </xdr:to>
    <xdr:sp macro="" textlink="">
      <xdr:nvSpPr>
        <xdr:cNvPr id="16" name="Textfeld 15"/>
        <xdr:cNvSpPr txBox="1"/>
      </xdr:nvSpPr>
      <xdr:spPr>
        <a:xfrm rot="16200000">
          <a:off x="29162" y="15389784"/>
          <a:ext cx="532612" cy="273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a:t>Mais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118373</xdr:colOff>
      <xdr:row>37</xdr:row>
      <xdr:rowOff>11023</xdr:rowOff>
    </xdr:from>
    <xdr:to>
      <xdr:col>16</xdr:col>
      <xdr:colOff>515188</xdr:colOff>
      <xdr:row>39</xdr:row>
      <xdr:rowOff>114541</xdr:rowOff>
    </xdr:to>
    <xdr:sp macro="" textlink="">
      <xdr:nvSpPr>
        <xdr:cNvPr id="2" name="Textfeld 1"/>
        <xdr:cNvSpPr txBox="1"/>
      </xdr:nvSpPr>
      <xdr:spPr>
        <a:xfrm>
          <a:off x="7271109" y="7391401"/>
          <a:ext cx="3332193" cy="486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t>Es wird  eine überbetrieblichen Ausbringung  unterstellt,</a:t>
          </a:r>
          <a:r>
            <a:rPr lang="de-DE" sz="1200" baseline="0"/>
            <a:t> die der Tierhaltung angelastet wird.</a:t>
          </a:r>
          <a:endParaRPr lang="de-DE" sz="12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drawing" Target="../drawings/drawing10.x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printerSettings" Target="../printerSettings/printerSettings28.bin"/><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27.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vmlDrawing" Target="../drawings/vmlDrawing6.v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drawing" Target="../drawings/drawing11.x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printerSettings" Target="../printerSettings/printerSettings32.bin"/><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31.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vmlDrawing" Target="../drawings/vmlDrawing7.v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3" Type="http://schemas.openxmlformats.org/officeDocument/2006/relationships/drawing" Target="../drawings/drawing12.xml"/><Relationship Id="rId21" Type="http://schemas.openxmlformats.org/officeDocument/2006/relationships/ctrlProp" Target="../ctrlProps/ctrlProp62.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2" Type="http://schemas.openxmlformats.org/officeDocument/2006/relationships/printerSettings" Target="../printerSettings/printerSettings36.bin"/><Relationship Id="rId16" Type="http://schemas.openxmlformats.org/officeDocument/2006/relationships/ctrlProp" Target="../ctrlProps/ctrlProp57.xml"/><Relationship Id="rId20" Type="http://schemas.openxmlformats.org/officeDocument/2006/relationships/ctrlProp" Target="../ctrlProps/ctrlProp61.xml"/><Relationship Id="rId1" Type="http://schemas.openxmlformats.org/officeDocument/2006/relationships/printerSettings" Target="../printerSettings/printerSettings35.bin"/><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10" Type="http://schemas.openxmlformats.org/officeDocument/2006/relationships/ctrlProp" Target="../ctrlProps/ctrlProp51.xml"/><Relationship Id="rId19" Type="http://schemas.openxmlformats.org/officeDocument/2006/relationships/ctrlProp" Target="../ctrlProps/ctrlProp60.xml"/><Relationship Id="rId4" Type="http://schemas.openxmlformats.org/officeDocument/2006/relationships/vmlDrawing" Target="../drawings/vmlDrawing8.v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18" Type="http://schemas.openxmlformats.org/officeDocument/2006/relationships/ctrlProp" Target="../ctrlProps/ctrlProp80.xml"/><Relationship Id="rId3" Type="http://schemas.openxmlformats.org/officeDocument/2006/relationships/drawing" Target="../drawings/drawing13.xml"/><Relationship Id="rId21" Type="http://schemas.openxmlformats.org/officeDocument/2006/relationships/ctrlProp" Target="../ctrlProps/ctrlProp83.xml"/><Relationship Id="rId7" Type="http://schemas.openxmlformats.org/officeDocument/2006/relationships/ctrlProp" Target="../ctrlProps/ctrlProp69.x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2" Type="http://schemas.openxmlformats.org/officeDocument/2006/relationships/printerSettings" Target="../printerSettings/printerSettings40.bin"/><Relationship Id="rId16" Type="http://schemas.openxmlformats.org/officeDocument/2006/relationships/ctrlProp" Target="../ctrlProps/ctrlProp78.xml"/><Relationship Id="rId20" Type="http://schemas.openxmlformats.org/officeDocument/2006/relationships/ctrlProp" Target="../ctrlProps/ctrlProp82.xml"/><Relationship Id="rId1" Type="http://schemas.openxmlformats.org/officeDocument/2006/relationships/printerSettings" Target="../printerSettings/printerSettings39.bin"/><Relationship Id="rId6" Type="http://schemas.openxmlformats.org/officeDocument/2006/relationships/ctrlProp" Target="../ctrlProps/ctrlProp68.xml"/><Relationship Id="rId11" Type="http://schemas.openxmlformats.org/officeDocument/2006/relationships/ctrlProp" Target="../ctrlProps/ctrlProp73.xml"/><Relationship Id="rId24" Type="http://schemas.openxmlformats.org/officeDocument/2006/relationships/ctrlProp" Target="../ctrlProps/ctrlProp86.xml"/><Relationship Id="rId5" Type="http://schemas.openxmlformats.org/officeDocument/2006/relationships/ctrlProp" Target="../ctrlProps/ctrlProp67.xml"/><Relationship Id="rId15" Type="http://schemas.openxmlformats.org/officeDocument/2006/relationships/ctrlProp" Target="../ctrlProps/ctrlProp77.xml"/><Relationship Id="rId23" Type="http://schemas.openxmlformats.org/officeDocument/2006/relationships/ctrlProp" Target="../ctrlProps/ctrlProp85.xml"/><Relationship Id="rId10" Type="http://schemas.openxmlformats.org/officeDocument/2006/relationships/ctrlProp" Target="../ctrlProps/ctrlProp72.xml"/><Relationship Id="rId19" Type="http://schemas.openxmlformats.org/officeDocument/2006/relationships/ctrlProp" Target="../ctrlProps/ctrlProp81.xml"/><Relationship Id="rId4" Type="http://schemas.openxmlformats.org/officeDocument/2006/relationships/vmlDrawing" Target="../drawings/vmlDrawing9.vml"/><Relationship Id="rId9" Type="http://schemas.openxmlformats.org/officeDocument/2006/relationships/ctrlProp" Target="../ctrlProps/ctrlProp71.xml"/><Relationship Id="rId14" Type="http://schemas.openxmlformats.org/officeDocument/2006/relationships/ctrlProp" Target="../ctrlProps/ctrlProp76.xml"/><Relationship Id="rId22" Type="http://schemas.openxmlformats.org/officeDocument/2006/relationships/ctrlProp" Target="../ctrlProps/ctrlProp8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18" Type="http://schemas.openxmlformats.org/officeDocument/2006/relationships/ctrlProp" Target="../ctrlProps/ctrlProp101.xml"/><Relationship Id="rId3" Type="http://schemas.openxmlformats.org/officeDocument/2006/relationships/drawing" Target="../drawings/drawing14.xml"/><Relationship Id="rId21" Type="http://schemas.openxmlformats.org/officeDocument/2006/relationships/ctrlProp" Target="../ctrlProps/ctrlProp104.xml"/><Relationship Id="rId7" Type="http://schemas.openxmlformats.org/officeDocument/2006/relationships/ctrlProp" Target="../ctrlProps/ctrlProp90.xml"/><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2" Type="http://schemas.openxmlformats.org/officeDocument/2006/relationships/printerSettings" Target="../printerSettings/printerSettings44.bin"/><Relationship Id="rId16" Type="http://schemas.openxmlformats.org/officeDocument/2006/relationships/ctrlProp" Target="../ctrlProps/ctrlProp99.xml"/><Relationship Id="rId20" Type="http://schemas.openxmlformats.org/officeDocument/2006/relationships/ctrlProp" Target="../ctrlProps/ctrlProp103.xml"/><Relationship Id="rId1" Type="http://schemas.openxmlformats.org/officeDocument/2006/relationships/printerSettings" Target="../printerSettings/printerSettings43.bin"/><Relationship Id="rId6" Type="http://schemas.openxmlformats.org/officeDocument/2006/relationships/ctrlProp" Target="../ctrlProps/ctrlProp89.xml"/><Relationship Id="rId11" Type="http://schemas.openxmlformats.org/officeDocument/2006/relationships/ctrlProp" Target="../ctrlProps/ctrlProp94.xml"/><Relationship Id="rId24" Type="http://schemas.openxmlformats.org/officeDocument/2006/relationships/ctrlProp" Target="../ctrlProps/ctrlProp107.xml"/><Relationship Id="rId5" Type="http://schemas.openxmlformats.org/officeDocument/2006/relationships/ctrlProp" Target="../ctrlProps/ctrlProp88.xml"/><Relationship Id="rId15" Type="http://schemas.openxmlformats.org/officeDocument/2006/relationships/ctrlProp" Target="../ctrlProps/ctrlProp98.xml"/><Relationship Id="rId23" Type="http://schemas.openxmlformats.org/officeDocument/2006/relationships/ctrlProp" Target="../ctrlProps/ctrlProp106.xml"/><Relationship Id="rId10" Type="http://schemas.openxmlformats.org/officeDocument/2006/relationships/ctrlProp" Target="../ctrlProps/ctrlProp93.xml"/><Relationship Id="rId19" Type="http://schemas.openxmlformats.org/officeDocument/2006/relationships/ctrlProp" Target="../ctrlProps/ctrlProp102.xml"/><Relationship Id="rId4" Type="http://schemas.openxmlformats.org/officeDocument/2006/relationships/vmlDrawing" Target="../drawings/vmlDrawing10.vml"/><Relationship Id="rId9" Type="http://schemas.openxmlformats.org/officeDocument/2006/relationships/ctrlProp" Target="../ctrlProps/ctrlProp92.xml"/><Relationship Id="rId14" Type="http://schemas.openxmlformats.org/officeDocument/2006/relationships/ctrlProp" Target="../ctrlProps/ctrlProp97.xml"/><Relationship Id="rId22" Type="http://schemas.openxmlformats.org/officeDocument/2006/relationships/ctrlProp" Target="../ctrlProps/ctrlProp105.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12.xml"/><Relationship Id="rId13" Type="http://schemas.openxmlformats.org/officeDocument/2006/relationships/ctrlProp" Target="../ctrlProps/ctrlProp117.xml"/><Relationship Id="rId18" Type="http://schemas.openxmlformats.org/officeDocument/2006/relationships/ctrlProp" Target="../ctrlProps/ctrlProp122.xml"/><Relationship Id="rId3" Type="http://schemas.openxmlformats.org/officeDocument/2006/relationships/drawing" Target="../drawings/drawing15.xml"/><Relationship Id="rId21" Type="http://schemas.openxmlformats.org/officeDocument/2006/relationships/ctrlProp" Target="../ctrlProps/ctrlProp125.xml"/><Relationship Id="rId7" Type="http://schemas.openxmlformats.org/officeDocument/2006/relationships/ctrlProp" Target="../ctrlProps/ctrlProp111.x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2" Type="http://schemas.openxmlformats.org/officeDocument/2006/relationships/printerSettings" Target="../printerSettings/printerSettings48.bin"/><Relationship Id="rId16" Type="http://schemas.openxmlformats.org/officeDocument/2006/relationships/ctrlProp" Target="../ctrlProps/ctrlProp120.xml"/><Relationship Id="rId20" Type="http://schemas.openxmlformats.org/officeDocument/2006/relationships/ctrlProp" Target="../ctrlProps/ctrlProp124.xml"/><Relationship Id="rId1" Type="http://schemas.openxmlformats.org/officeDocument/2006/relationships/printerSettings" Target="../printerSettings/printerSettings47.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trlProp" Target="../ctrlProps/ctrlProp128.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10" Type="http://schemas.openxmlformats.org/officeDocument/2006/relationships/ctrlProp" Target="../ctrlProps/ctrlProp114.xml"/><Relationship Id="rId19" Type="http://schemas.openxmlformats.org/officeDocument/2006/relationships/ctrlProp" Target="../ctrlProps/ctrlProp123.xml"/><Relationship Id="rId4" Type="http://schemas.openxmlformats.org/officeDocument/2006/relationships/vmlDrawing" Target="../drawings/vmlDrawing11.v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33.xml"/><Relationship Id="rId13" Type="http://schemas.openxmlformats.org/officeDocument/2006/relationships/ctrlProp" Target="../ctrlProps/ctrlProp138.xml"/><Relationship Id="rId18" Type="http://schemas.openxmlformats.org/officeDocument/2006/relationships/ctrlProp" Target="../ctrlProps/ctrlProp143.xml"/><Relationship Id="rId3" Type="http://schemas.openxmlformats.org/officeDocument/2006/relationships/drawing" Target="../drawings/drawing16.xml"/><Relationship Id="rId21" Type="http://schemas.openxmlformats.org/officeDocument/2006/relationships/ctrlProp" Target="../ctrlProps/ctrlProp146.xml"/><Relationship Id="rId7" Type="http://schemas.openxmlformats.org/officeDocument/2006/relationships/ctrlProp" Target="../ctrlProps/ctrlProp132.x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2" Type="http://schemas.openxmlformats.org/officeDocument/2006/relationships/printerSettings" Target="../printerSettings/printerSettings52.bin"/><Relationship Id="rId16" Type="http://schemas.openxmlformats.org/officeDocument/2006/relationships/ctrlProp" Target="../ctrlProps/ctrlProp141.xml"/><Relationship Id="rId20" Type="http://schemas.openxmlformats.org/officeDocument/2006/relationships/ctrlProp" Target="../ctrlProps/ctrlProp145.xml"/><Relationship Id="rId1" Type="http://schemas.openxmlformats.org/officeDocument/2006/relationships/printerSettings" Target="../printerSettings/printerSettings51.bin"/><Relationship Id="rId6" Type="http://schemas.openxmlformats.org/officeDocument/2006/relationships/ctrlProp" Target="../ctrlProps/ctrlProp131.xml"/><Relationship Id="rId11" Type="http://schemas.openxmlformats.org/officeDocument/2006/relationships/ctrlProp" Target="../ctrlProps/ctrlProp136.xml"/><Relationship Id="rId24" Type="http://schemas.openxmlformats.org/officeDocument/2006/relationships/ctrlProp" Target="../ctrlProps/ctrlProp149.xml"/><Relationship Id="rId5" Type="http://schemas.openxmlformats.org/officeDocument/2006/relationships/ctrlProp" Target="../ctrlProps/ctrlProp130.xml"/><Relationship Id="rId15" Type="http://schemas.openxmlformats.org/officeDocument/2006/relationships/ctrlProp" Target="../ctrlProps/ctrlProp140.xml"/><Relationship Id="rId23" Type="http://schemas.openxmlformats.org/officeDocument/2006/relationships/ctrlProp" Target="../ctrlProps/ctrlProp148.xml"/><Relationship Id="rId10" Type="http://schemas.openxmlformats.org/officeDocument/2006/relationships/ctrlProp" Target="../ctrlProps/ctrlProp135.xml"/><Relationship Id="rId19" Type="http://schemas.openxmlformats.org/officeDocument/2006/relationships/ctrlProp" Target="../ctrlProps/ctrlProp144.xml"/><Relationship Id="rId4" Type="http://schemas.openxmlformats.org/officeDocument/2006/relationships/vmlDrawing" Target="../drawings/vmlDrawing12.vml"/><Relationship Id="rId9" Type="http://schemas.openxmlformats.org/officeDocument/2006/relationships/ctrlProp" Target="../ctrlProps/ctrlProp134.xml"/><Relationship Id="rId14" Type="http://schemas.openxmlformats.org/officeDocument/2006/relationships/ctrlProp" Target="../ctrlProps/ctrlProp139.xml"/><Relationship Id="rId22" Type="http://schemas.openxmlformats.org/officeDocument/2006/relationships/ctrlProp" Target="../ctrlProps/ctrlProp147.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54.xml"/><Relationship Id="rId13" Type="http://schemas.openxmlformats.org/officeDocument/2006/relationships/ctrlProp" Target="../ctrlProps/ctrlProp159.xml"/><Relationship Id="rId18" Type="http://schemas.openxmlformats.org/officeDocument/2006/relationships/ctrlProp" Target="../ctrlProps/ctrlProp164.xml"/><Relationship Id="rId3" Type="http://schemas.openxmlformats.org/officeDocument/2006/relationships/drawing" Target="../drawings/drawing17.xml"/><Relationship Id="rId21" Type="http://schemas.openxmlformats.org/officeDocument/2006/relationships/ctrlProp" Target="../ctrlProps/ctrlProp167.xml"/><Relationship Id="rId7" Type="http://schemas.openxmlformats.org/officeDocument/2006/relationships/ctrlProp" Target="../ctrlProps/ctrlProp153.xml"/><Relationship Id="rId12" Type="http://schemas.openxmlformats.org/officeDocument/2006/relationships/ctrlProp" Target="../ctrlProps/ctrlProp158.xml"/><Relationship Id="rId17" Type="http://schemas.openxmlformats.org/officeDocument/2006/relationships/ctrlProp" Target="../ctrlProps/ctrlProp163.xml"/><Relationship Id="rId25" Type="http://schemas.openxmlformats.org/officeDocument/2006/relationships/ctrlProp" Target="../ctrlProps/ctrlProp171.xml"/><Relationship Id="rId2" Type="http://schemas.openxmlformats.org/officeDocument/2006/relationships/printerSettings" Target="../printerSettings/printerSettings56.bin"/><Relationship Id="rId16" Type="http://schemas.openxmlformats.org/officeDocument/2006/relationships/ctrlProp" Target="../ctrlProps/ctrlProp162.xml"/><Relationship Id="rId20" Type="http://schemas.openxmlformats.org/officeDocument/2006/relationships/ctrlProp" Target="../ctrlProps/ctrlProp166.xml"/><Relationship Id="rId1" Type="http://schemas.openxmlformats.org/officeDocument/2006/relationships/printerSettings" Target="../printerSettings/printerSettings55.bin"/><Relationship Id="rId6" Type="http://schemas.openxmlformats.org/officeDocument/2006/relationships/ctrlProp" Target="../ctrlProps/ctrlProp152.xml"/><Relationship Id="rId11" Type="http://schemas.openxmlformats.org/officeDocument/2006/relationships/ctrlProp" Target="../ctrlProps/ctrlProp157.xml"/><Relationship Id="rId24" Type="http://schemas.openxmlformats.org/officeDocument/2006/relationships/ctrlProp" Target="../ctrlProps/ctrlProp170.xml"/><Relationship Id="rId5" Type="http://schemas.openxmlformats.org/officeDocument/2006/relationships/ctrlProp" Target="../ctrlProps/ctrlProp151.xml"/><Relationship Id="rId15" Type="http://schemas.openxmlformats.org/officeDocument/2006/relationships/ctrlProp" Target="../ctrlProps/ctrlProp161.xml"/><Relationship Id="rId23" Type="http://schemas.openxmlformats.org/officeDocument/2006/relationships/ctrlProp" Target="../ctrlProps/ctrlProp169.xml"/><Relationship Id="rId10" Type="http://schemas.openxmlformats.org/officeDocument/2006/relationships/ctrlProp" Target="../ctrlProps/ctrlProp156.xml"/><Relationship Id="rId19" Type="http://schemas.openxmlformats.org/officeDocument/2006/relationships/ctrlProp" Target="../ctrlProps/ctrlProp165.xml"/><Relationship Id="rId4" Type="http://schemas.openxmlformats.org/officeDocument/2006/relationships/vmlDrawing" Target="../drawings/vmlDrawing13.vml"/><Relationship Id="rId9" Type="http://schemas.openxmlformats.org/officeDocument/2006/relationships/ctrlProp" Target="../ctrlProps/ctrlProp155.xml"/><Relationship Id="rId14" Type="http://schemas.openxmlformats.org/officeDocument/2006/relationships/ctrlProp" Target="../ctrlProps/ctrlProp160.xml"/><Relationship Id="rId22" Type="http://schemas.openxmlformats.org/officeDocument/2006/relationships/ctrlProp" Target="../ctrlProps/ctrlProp168.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75.xml"/><Relationship Id="rId13" Type="http://schemas.openxmlformats.org/officeDocument/2006/relationships/ctrlProp" Target="../ctrlProps/ctrlProp180.xml"/><Relationship Id="rId18" Type="http://schemas.openxmlformats.org/officeDocument/2006/relationships/ctrlProp" Target="../ctrlProps/ctrlProp185.xml"/><Relationship Id="rId3" Type="http://schemas.openxmlformats.org/officeDocument/2006/relationships/drawing" Target="../drawings/drawing18.xml"/><Relationship Id="rId21" Type="http://schemas.openxmlformats.org/officeDocument/2006/relationships/ctrlProp" Target="../ctrlProps/ctrlProp188.xml"/><Relationship Id="rId7" Type="http://schemas.openxmlformats.org/officeDocument/2006/relationships/ctrlProp" Target="../ctrlProps/ctrlProp174.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2" Type="http://schemas.openxmlformats.org/officeDocument/2006/relationships/printerSettings" Target="../printerSettings/printerSettings60.bin"/><Relationship Id="rId16" Type="http://schemas.openxmlformats.org/officeDocument/2006/relationships/ctrlProp" Target="../ctrlProps/ctrlProp183.xml"/><Relationship Id="rId20" Type="http://schemas.openxmlformats.org/officeDocument/2006/relationships/ctrlProp" Target="../ctrlProps/ctrlProp187.xml"/><Relationship Id="rId1" Type="http://schemas.openxmlformats.org/officeDocument/2006/relationships/printerSettings" Target="../printerSettings/printerSettings59.bin"/><Relationship Id="rId6" Type="http://schemas.openxmlformats.org/officeDocument/2006/relationships/ctrlProp" Target="../ctrlProps/ctrlProp173.xml"/><Relationship Id="rId11" Type="http://schemas.openxmlformats.org/officeDocument/2006/relationships/ctrlProp" Target="../ctrlProps/ctrlProp178.xml"/><Relationship Id="rId24" Type="http://schemas.openxmlformats.org/officeDocument/2006/relationships/ctrlProp" Target="../ctrlProps/ctrlProp191.xml"/><Relationship Id="rId5" Type="http://schemas.openxmlformats.org/officeDocument/2006/relationships/ctrlProp" Target="../ctrlProps/ctrlProp172.xml"/><Relationship Id="rId15" Type="http://schemas.openxmlformats.org/officeDocument/2006/relationships/ctrlProp" Target="../ctrlProps/ctrlProp182.xml"/><Relationship Id="rId23" Type="http://schemas.openxmlformats.org/officeDocument/2006/relationships/ctrlProp" Target="../ctrlProps/ctrlProp190.xml"/><Relationship Id="rId10" Type="http://schemas.openxmlformats.org/officeDocument/2006/relationships/ctrlProp" Target="../ctrlProps/ctrlProp177.xml"/><Relationship Id="rId19" Type="http://schemas.openxmlformats.org/officeDocument/2006/relationships/ctrlProp" Target="../ctrlProps/ctrlProp186.xml"/><Relationship Id="rId4" Type="http://schemas.openxmlformats.org/officeDocument/2006/relationships/vmlDrawing" Target="../drawings/vmlDrawing14.vml"/><Relationship Id="rId9" Type="http://schemas.openxmlformats.org/officeDocument/2006/relationships/ctrlProp" Target="../ctrlProps/ctrlProp176.xml"/><Relationship Id="rId14" Type="http://schemas.openxmlformats.org/officeDocument/2006/relationships/ctrlProp" Target="../ctrlProps/ctrlProp181.xml"/><Relationship Id="rId22" Type="http://schemas.openxmlformats.org/officeDocument/2006/relationships/ctrlProp" Target="../ctrlProps/ctrlProp189.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96.xml"/><Relationship Id="rId13" Type="http://schemas.openxmlformats.org/officeDocument/2006/relationships/ctrlProp" Target="../ctrlProps/ctrlProp201.xml"/><Relationship Id="rId18" Type="http://schemas.openxmlformats.org/officeDocument/2006/relationships/ctrlProp" Target="../ctrlProps/ctrlProp206.xml"/><Relationship Id="rId3" Type="http://schemas.openxmlformats.org/officeDocument/2006/relationships/drawing" Target="../drawings/drawing19.xml"/><Relationship Id="rId21" Type="http://schemas.openxmlformats.org/officeDocument/2006/relationships/ctrlProp" Target="../ctrlProps/ctrlProp209.xml"/><Relationship Id="rId7" Type="http://schemas.openxmlformats.org/officeDocument/2006/relationships/ctrlProp" Target="../ctrlProps/ctrlProp195.xml"/><Relationship Id="rId12" Type="http://schemas.openxmlformats.org/officeDocument/2006/relationships/ctrlProp" Target="../ctrlProps/ctrlProp200.xml"/><Relationship Id="rId17" Type="http://schemas.openxmlformats.org/officeDocument/2006/relationships/ctrlProp" Target="../ctrlProps/ctrlProp205.xml"/><Relationship Id="rId25" Type="http://schemas.openxmlformats.org/officeDocument/2006/relationships/ctrlProp" Target="../ctrlProps/ctrlProp213.xml"/><Relationship Id="rId2" Type="http://schemas.openxmlformats.org/officeDocument/2006/relationships/printerSettings" Target="../printerSettings/printerSettings64.bin"/><Relationship Id="rId16" Type="http://schemas.openxmlformats.org/officeDocument/2006/relationships/ctrlProp" Target="../ctrlProps/ctrlProp204.xml"/><Relationship Id="rId20" Type="http://schemas.openxmlformats.org/officeDocument/2006/relationships/ctrlProp" Target="../ctrlProps/ctrlProp208.xml"/><Relationship Id="rId1" Type="http://schemas.openxmlformats.org/officeDocument/2006/relationships/printerSettings" Target="../printerSettings/printerSettings63.bin"/><Relationship Id="rId6" Type="http://schemas.openxmlformats.org/officeDocument/2006/relationships/ctrlProp" Target="../ctrlProps/ctrlProp194.xml"/><Relationship Id="rId11" Type="http://schemas.openxmlformats.org/officeDocument/2006/relationships/ctrlProp" Target="../ctrlProps/ctrlProp199.xml"/><Relationship Id="rId24" Type="http://schemas.openxmlformats.org/officeDocument/2006/relationships/ctrlProp" Target="../ctrlProps/ctrlProp212.xml"/><Relationship Id="rId5" Type="http://schemas.openxmlformats.org/officeDocument/2006/relationships/ctrlProp" Target="../ctrlProps/ctrlProp193.xml"/><Relationship Id="rId15" Type="http://schemas.openxmlformats.org/officeDocument/2006/relationships/ctrlProp" Target="../ctrlProps/ctrlProp203.xml"/><Relationship Id="rId23" Type="http://schemas.openxmlformats.org/officeDocument/2006/relationships/ctrlProp" Target="../ctrlProps/ctrlProp211.xml"/><Relationship Id="rId10" Type="http://schemas.openxmlformats.org/officeDocument/2006/relationships/ctrlProp" Target="../ctrlProps/ctrlProp198.xml"/><Relationship Id="rId19" Type="http://schemas.openxmlformats.org/officeDocument/2006/relationships/ctrlProp" Target="../ctrlProps/ctrlProp207.xml"/><Relationship Id="rId4" Type="http://schemas.openxmlformats.org/officeDocument/2006/relationships/vmlDrawing" Target="../drawings/vmlDrawing15.vml"/><Relationship Id="rId9" Type="http://schemas.openxmlformats.org/officeDocument/2006/relationships/ctrlProp" Target="../ctrlProps/ctrlProp197.xml"/><Relationship Id="rId14" Type="http://schemas.openxmlformats.org/officeDocument/2006/relationships/ctrlProp" Target="../ctrlProps/ctrlProp202.xml"/><Relationship Id="rId22" Type="http://schemas.openxmlformats.org/officeDocument/2006/relationships/ctrlProp" Target="../ctrlProps/ctrlProp210.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 Type="http://schemas.openxmlformats.org/officeDocument/2006/relationships/drawing" Target="../drawings/drawing20.xml"/><Relationship Id="rId21" Type="http://schemas.openxmlformats.org/officeDocument/2006/relationships/ctrlProp" Target="../ctrlProps/ctrlProp230.xml"/><Relationship Id="rId34" Type="http://schemas.openxmlformats.org/officeDocument/2006/relationships/ctrlProp" Target="../ctrlProps/ctrlProp243.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2" Type="http://schemas.openxmlformats.org/officeDocument/2006/relationships/printerSettings" Target="../printerSettings/printerSettings68.bin"/><Relationship Id="rId16" Type="http://schemas.openxmlformats.org/officeDocument/2006/relationships/ctrlProp" Target="../ctrlProps/ctrlProp225.xml"/><Relationship Id="rId20" Type="http://schemas.openxmlformats.org/officeDocument/2006/relationships/ctrlProp" Target="../ctrlProps/ctrlProp229.xml"/><Relationship Id="rId29" Type="http://schemas.openxmlformats.org/officeDocument/2006/relationships/ctrlProp" Target="../ctrlProps/ctrlProp238.xml"/><Relationship Id="rId1" Type="http://schemas.openxmlformats.org/officeDocument/2006/relationships/printerSettings" Target="../printerSettings/printerSettings67.bin"/><Relationship Id="rId6" Type="http://schemas.openxmlformats.org/officeDocument/2006/relationships/ctrlProp" Target="../ctrlProps/ctrlProp215.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5" Type="http://schemas.openxmlformats.org/officeDocument/2006/relationships/ctrlProp" Target="../ctrlProps/ctrlProp214.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10" Type="http://schemas.openxmlformats.org/officeDocument/2006/relationships/ctrlProp" Target="../ctrlProps/ctrlProp219.xml"/><Relationship Id="rId19" Type="http://schemas.openxmlformats.org/officeDocument/2006/relationships/ctrlProp" Target="../ctrlProps/ctrlProp228.xml"/><Relationship Id="rId31" Type="http://schemas.openxmlformats.org/officeDocument/2006/relationships/ctrlProp" Target="../ctrlProps/ctrlProp240.xml"/><Relationship Id="rId4" Type="http://schemas.openxmlformats.org/officeDocument/2006/relationships/vmlDrawing" Target="../drawings/vmlDrawing16.v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 Type="http://schemas.openxmlformats.org/officeDocument/2006/relationships/drawing" Target="../drawings/drawing21.x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2" Type="http://schemas.openxmlformats.org/officeDocument/2006/relationships/printerSettings" Target="../printerSettings/printerSettings72.bin"/><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7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vmlDrawing" Target="../drawings/vmlDrawing17.v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3" Type="http://schemas.openxmlformats.org/officeDocument/2006/relationships/drawing" Target="../drawings/drawing22.x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2" Type="http://schemas.openxmlformats.org/officeDocument/2006/relationships/printerSettings" Target="../printerSettings/printerSettings76.bin"/><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printerSettings" Target="../printerSettings/printerSettings75.bin"/><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36" Type="http://schemas.openxmlformats.org/officeDocument/2006/relationships/ctrlProp" Target="../ctrlProps/ctrlProp309.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vmlDrawing" Target="../drawings/vmlDrawing18.v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 Id="rId35" Type="http://schemas.openxmlformats.org/officeDocument/2006/relationships/ctrlProp" Target="../ctrlProps/ctrlProp308.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26" Type="http://schemas.openxmlformats.org/officeDocument/2006/relationships/ctrlProp" Target="../ctrlProps/ctrlProp331.xml"/><Relationship Id="rId3" Type="http://schemas.openxmlformats.org/officeDocument/2006/relationships/drawing" Target="../drawings/drawing23.xml"/><Relationship Id="rId21" Type="http://schemas.openxmlformats.org/officeDocument/2006/relationships/ctrlProp" Target="../ctrlProps/ctrlProp326.xml"/><Relationship Id="rId34" Type="http://schemas.openxmlformats.org/officeDocument/2006/relationships/ctrlProp" Target="../ctrlProps/ctrlProp339.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5" Type="http://schemas.openxmlformats.org/officeDocument/2006/relationships/ctrlProp" Target="../ctrlProps/ctrlProp330.xml"/><Relationship Id="rId33" Type="http://schemas.openxmlformats.org/officeDocument/2006/relationships/ctrlProp" Target="../ctrlProps/ctrlProp338.xml"/><Relationship Id="rId2" Type="http://schemas.openxmlformats.org/officeDocument/2006/relationships/printerSettings" Target="../printerSettings/printerSettings80.bin"/><Relationship Id="rId16" Type="http://schemas.openxmlformats.org/officeDocument/2006/relationships/ctrlProp" Target="../ctrlProps/ctrlProp321.xml"/><Relationship Id="rId20" Type="http://schemas.openxmlformats.org/officeDocument/2006/relationships/ctrlProp" Target="../ctrlProps/ctrlProp325.xml"/><Relationship Id="rId29" Type="http://schemas.openxmlformats.org/officeDocument/2006/relationships/ctrlProp" Target="../ctrlProps/ctrlProp334.xml"/><Relationship Id="rId1" Type="http://schemas.openxmlformats.org/officeDocument/2006/relationships/printerSettings" Target="../printerSettings/printerSettings79.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trlProp" Target="../ctrlProps/ctrlProp329.xml"/><Relationship Id="rId32" Type="http://schemas.openxmlformats.org/officeDocument/2006/relationships/ctrlProp" Target="../ctrlProps/ctrlProp337.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28" Type="http://schemas.openxmlformats.org/officeDocument/2006/relationships/ctrlProp" Target="../ctrlProps/ctrlProp333.xml"/><Relationship Id="rId36" Type="http://schemas.openxmlformats.org/officeDocument/2006/relationships/ctrlProp" Target="../ctrlProps/ctrlProp341.xml"/><Relationship Id="rId10" Type="http://schemas.openxmlformats.org/officeDocument/2006/relationships/ctrlProp" Target="../ctrlProps/ctrlProp315.xml"/><Relationship Id="rId19" Type="http://schemas.openxmlformats.org/officeDocument/2006/relationships/ctrlProp" Target="../ctrlProps/ctrlProp324.xml"/><Relationship Id="rId31" Type="http://schemas.openxmlformats.org/officeDocument/2006/relationships/ctrlProp" Target="../ctrlProps/ctrlProp336.xml"/><Relationship Id="rId4" Type="http://schemas.openxmlformats.org/officeDocument/2006/relationships/vmlDrawing" Target="../drawings/vmlDrawing19.v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 Id="rId27" Type="http://schemas.openxmlformats.org/officeDocument/2006/relationships/ctrlProp" Target="../ctrlProps/ctrlProp332.xml"/><Relationship Id="rId30" Type="http://schemas.openxmlformats.org/officeDocument/2006/relationships/ctrlProp" Target="../ctrlProps/ctrlProp335.xml"/><Relationship Id="rId35" Type="http://schemas.openxmlformats.org/officeDocument/2006/relationships/ctrlProp" Target="../ctrlProps/ctrlProp340.xm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26" Type="http://schemas.openxmlformats.org/officeDocument/2006/relationships/ctrlProp" Target="../ctrlProps/ctrlProp363.xml"/><Relationship Id="rId3" Type="http://schemas.openxmlformats.org/officeDocument/2006/relationships/drawing" Target="../drawings/drawing24.xml"/><Relationship Id="rId21" Type="http://schemas.openxmlformats.org/officeDocument/2006/relationships/ctrlProp" Target="../ctrlProps/ctrlProp358.xml"/><Relationship Id="rId34" Type="http://schemas.openxmlformats.org/officeDocument/2006/relationships/ctrlProp" Target="../ctrlProps/ctrlProp371.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5" Type="http://schemas.openxmlformats.org/officeDocument/2006/relationships/ctrlProp" Target="../ctrlProps/ctrlProp362.xml"/><Relationship Id="rId33" Type="http://schemas.openxmlformats.org/officeDocument/2006/relationships/ctrlProp" Target="../ctrlProps/ctrlProp370.xml"/><Relationship Id="rId2" Type="http://schemas.openxmlformats.org/officeDocument/2006/relationships/printerSettings" Target="../printerSettings/printerSettings84.bin"/><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1" Type="http://schemas.openxmlformats.org/officeDocument/2006/relationships/printerSettings" Target="../printerSettings/printerSettings83.bin"/><Relationship Id="rId6" Type="http://schemas.openxmlformats.org/officeDocument/2006/relationships/ctrlProp" Target="../ctrlProps/ctrlProp343.xml"/><Relationship Id="rId11" Type="http://schemas.openxmlformats.org/officeDocument/2006/relationships/ctrlProp" Target="../ctrlProps/ctrlProp348.xml"/><Relationship Id="rId24" Type="http://schemas.openxmlformats.org/officeDocument/2006/relationships/ctrlProp" Target="../ctrlProps/ctrlProp361.xml"/><Relationship Id="rId32" Type="http://schemas.openxmlformats.org/officeDocument/2006/relationships/ctrlProp" Target="../ctrlProps/ctrlProp369.xml"/><Relationship Id="rId5" Type="http://schemas.openxmlformats.org/officeDocument/2006/relationships/ctrlProp" Target="../ctrlProps/ctrlProp342.xml"/><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36" Type="http://schemas.openxmlformats.org/officeDocument/2006/relationships/ctrlProp" Target="../ctrlProps/ctrlProp373.xml"/><Relationship Id="rId10" Type="http://schemas.openxmlformats.org/officeDocument/2006/relationships/ctrlProp" Target="../ctrlProps/ctrlProp347.xml"/><Relationship Id="rId19" Type="http://schemas.openxmlformats.org/officeDocument/2006/relationships/ctrlProp" Target="../ctrlProps/ctrlProp356.xml"/><Relationship Id="rId31" Type="http://schemas.openxmlformats.org/officeDocument/2006/relationships/ctrlProp" Target="../ctrlProps/ctrlProp368.xml"/><Relationship Id="rId4" Type="http://schemas.openxmlformats.org/officeDocument/2006/relationships/vmlDrawing" Target="../drawings/vmlDrawing20.v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 Id="rId30" Type="http://schemas.openxmlformats.org/officeDocument/2006/relationships/ctrlProp" Target="../ctrlProps/ctrlProp367.xml"/><Relationship Id="rId35" Type="http://schemas.openxmlformats.org/officeDocument/2006/relationships/ctrlProp" Target="../ctrlProps/ctrlProp372.xm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18" Type="http://schemas.openxmlformats.org/officeDocument/2006/relationships/ctrlProp" Target="../ctrlProps/ctrlProp387.xml"/><Relationship Id="rId26" Type="http://schemas.openxmlformats.org/officeDocument/2006/relationships/ctrlProp" Target="../ctrlProps/ctrlProp395.xml"/><Relationship Id="rId3" Type="http://schemas.openxmlformats.org/officeDocument/2006/relationships/drawing" Target="../drawings/drawing25.xml"/><Relationship Id="rId21" Type="http://schemas.openxmlformats.org/officeDocument/2006/relationships/ctrlProp" Target="../ctrlProps/ctrlProp390.xml"/><Relationship Id="rId34" Type="http://schemas.openxmlformats.org/officeDocument/2006/relationships/ctrlProp" Target="../ctrlProps/ctrlProp403.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5" Type="http://schemas.openxmlformats.org/officeDocument/2006/relationships/ctrlProp" Target="../ctrlProps/ctrlProp394.xml"/><Relationship Id="rId33" Type="http://schemas.openxmlformats.org/officeDocument/2006/relationships/ctrlProp" Target="../ctrlProps/ctrlProp402.xml"/><Relationship Id="rId2" Type="http://schemas.openxmlformats.org/officeDocument/2006/relationships/printerSettings" Target="../printerSettings/printerSettings88.bin"/><Relationship Id="rId16" Type="http://schemas.openxmlformats.org/officeDocument/2006/relationships/ctrlProp" Target="../ctrlProps/ctrlProp385.xml"/><Relationship Id="rId20" Type="http://schemas.openxmlformats.org/officeDocument/2006/relationships/ctrlProp" Target="../ctrlProps/ctrlProp389.xml"/><Relationship Id="rId29" Type="http://schemas.openxmlformats.org/officeDocument/2006/relationships/ctrlProp" Target="../ctrlProps/ctrlProp398.xml"/><Relationship Id="rId1" Type="http://schemas.openxmlformats.org/officeDocument/2006/relationships/printerSettings" Target="../printerSettings/printerSettings87.bin"/><Relationship Id="rId6" Type="http://schemas.openxmlformats.org/officeDocument/2006/relationships/ctrlProp" Target="../ctrlProps/ctrlProp375.xml"/><Relationship Id="rId11" Type="http://schemas.openxmlformats.org/officeDocument/2006/relationships/ctrlProp" Target="../ctrlProps/ctrlProp380.xml"/><Relationship Id="rId24" Type="http://schemas.openxmlformats.org/officeDocument/2006/relationships/ctrlProp" Target="../ctrlProps/ctrlProp393.xml"/><Relationship Id="rId32" Type="http://schemas.openxmlformats.org/officeDocument/2006/relationships/ctrlProp" Target="../ctrlProps/ctrlProp401.xml"/><Relationship Id="rId5" Type="http://schemas.openxmlformats.org/officeDocument/2006/relationships/ctrlProp" Target="../ctrlProps/ctrlProp374.xml"/><Relationship Id="rId15" Type="http://schemas.openxmlformats.org/officeDocument/2006/relationships/ctrlProp" Target="../ctrlProps/ctrlProp384.xml"/><Relationship Id="rId23" Type="http://schemas.openxmlformats.org/officeDocument/2006/relationships/ctrlProp" Target="../ctrlProps/ctrlProp392.xml"/><Relationship Id="rId28" Type="http://schemas.openxmlformats.org/officeDocument/2006/relationships/ctrlProp" Target="../ctrlProps/ctrlProp397.xml"/><Relationship Id="rId36" Type="http://schemas.openxmlformats.org/officeDocument/2006/relationships/ctrlProp" Target="../ctrlProps/ctrlProp405.xml"/><Relationship Id="rId10" Type="http://schemas.openxmlformats.org/officeDocument/2006/relationships/ctrlProp" Target="../ctrlProps/ctrlProp379.xml"/><Relationship Id="rId19" Type="http://schemas.openxmlformats.org/officeDocument/2006/relationships/ctrlProp" Target="../ctrlProps/ctrlProp388.xml"/><Relationship Id="rId31" Type="http://schemas.openxmlformats.org/officeDocument/2006/relationships/ctrlProp" Target="../ctrlProps/ctrlProp400.xml"/><Relationship Id="rId4" Type="http://schemas.openxmlformats.org/officeDocument/2006/relationships/vmlDrawing" Target="../drawings/vmlDrawing21.vml"/><Relationship Id="rId9" Type="http://schemas.openxmlformats.org/officeDocument/2006/relationships/ctrlProp" Target="../ctrlProps/ctrlProp378.xml"/><Relationship Id="rId14" Type="http://schemas.openxmlformats.org/officeDocument/2006/relationships/ctrlProp" Target="../ctrlProps/ctrlProp383.xml"/><Relationship Id="rId22" Type="http://schemas.openxmlformats.org/officeDocument/2006/relationships/ctrlProp" Target="../ctrlProps/ctrlProp391.xml"/><Relationship Id="rId27" Type="http://schemas.openxmlformats.org/officeDocument/2006/relationships/ctrlProp" Target="../ctrlProps/ctrlProp396.xml"/><Relationship Id="rId30" Type="http://schemas.openxmlformats.org/officeDocument/2006/relationships/ctrlProp" Target="../ctrlProps/ctrlProp399.xml"/><Relationship Id="rId35" Type="http://schemas.openxmlformats.org/officeDocument/2006/relationships/ctrlProp" Target="../ctrlProps/ctrlProp404.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09.xml"/><Relationship Id="rId13" Type="http://schemas.openxmlformats.org/officeDocument/2006/relationships/ctrlProp" Target="../ctrlProps/ctrlProp414.xml"/><Relationship Id="rId18" Type="http://schemas.openxmlformats.org/officeDocument/2006/relationships/ctrlProp" Target="../ctrlProps/ctrlProp419.xml"/><Relationship Id="rId26" Type="http://schemas.openxmlformats.org/officeDocument/2006/relationships/ctrlProp" Target="../ctrlProps/ctrlProp427.xml"/><Relationship Id="rId3" Type="http://schemas.openxmlformats.org/officeDocument/2006/relationships/drawing" Target="../drawings/drawing26.xml"/><Relationship Id="rId21" Type="http://schemas.openxmlformats.org/officeDocument/2006/relationships/ctrlProp" Target="../ctrlProps/ctrlProp422.xml"/><Relationship Id="rId34" Type="http://schemas.openxmlformats.org/officeDocument/2006/relationships/ctrlProp" Target="../ctrlProps/ctrlProp435.xml"/><Relationship Id="rId7" Type="http://schemas.openxmlformats.org/officeDocument/2006/relationships/ctrlProp" Target="../ctrlProps/ctrlProp408.xml"/><Relationship Id="rId12" Type="http://schemas.openxmlformats.org/officeDocument/2006/relationships/ctrlProp" Target="../ctrlProps/ctrlProp413.xml"/><Relationship Id="rId17" Type="http://schemas.openxmlformats.org/officeDocument/2006/relationships/ctrlProp" Target="../ctrlProps/ctrlProp418.xml"/><Relationship Id="rId25" Type="http://schemas.openxmlformats.org/officeDocument/2006/relationships/ctrlProp" Target="../ctrlProps/ctrlProp426.xml"/><Relationship Id="rId33" Type="http://schemas.openxmlformats.org/officeDocument/2006/relationships/ctrlProp" Target="../ctrlProps/ctrlProp434.xml"/><Relationship Id="rId2" Type="http://schemas.openxmlformats.org/officeDocument/2006/relationships/printerSettings" Target="../printerSettings/printerSettings92.bin"/><Relationship Id="rId16" Type="http://schemas.openxmlformats.org/officeDocument/2006/relationships/ctrlProp" Target="../ctrlProps/ctrlProp417.xml"/><Relationship Id="rId20" Type="http://schemas.openxmlformats.org/officeDocument/2006/relationships/ctrlProp" Target="../ctrlProps/ctrlProp421.xml"/><Relationship Id="rId29" Type="http://schemas.openxmlformats.org/officeDocument/2006/relationships/ctrlProp" Target="../ctrlProps/ctrlProp430.xml"/><Relationship Id="rId1" Type="http://schemas.openxmlformats.org/officeDocument/2006/relationships/printerSettings" Target="../printerSettings/printerSettings91.bin"/><Relationship Id="rId6" Type="http://schemas.openxmlformats.org/officeDocument/2006/relationships/ctrlProp" Target="../ctrlProps/ctrlProp407.xml"/><Relationship Id="rId11" Type="http://schemas.openxmlformats.org/officeDocument/2006/relationships/ctrlProp" Target="../ctrlProps/ctrlProp412.xml"/><Relationship Id="rId24" Type="http://schemas.openxmlformats.org/officeDocument/2006/relationships/ctrlProp" Target="../ctrlProps/ctrlProp425.xml"/><Relationship Id="rId32" Type="http://schemas.openxmlformats.org/officeDocument/2006/relationships/ctrlProp" Target="../ctrlProps/ctrlProp433.xml"/><Relationship Id="rId5" Type="http://schemas.openxmlformats.org/officeDocument/2006/relationships/ctrlProp" Target="../ctrlProps/ctrlProp406.xml"/><Relationship Id="rId15" Type="http://schemas.openxmlformats.org/officeDocument/2006/relationships/ctrlProp" Target="../ctrlProps/ctrlProp416.xml"/><Relationship Id="rId23" Type="http://schemas.openxmlformats.org/officeDocument/2006/relationships/ctrlProp" Target="../ctrlProps/ctrlProp424.xml"/><Relationship Id="rId28" Type="http://schemas.openxmlformats.org/officeDocument/2006/relationships/ctrlProp" Target="../ctrlProps/ctrlProp429.xml"/><Relationship Id="rId36" Type="http://schemas.openxmlformats.org/officeDocument/2006/relationships/ctrlProp" Target="../ctrlProps/ctrlProp437.xml"/><Relationship Id="rId10" Type="http://schemas.openxmlformats.org/officeDocument/2006/relationships/ctrlProp" Target="../ctrlProps/ctrlProp411.xml"/><Relationship Id="rId19" Type="http://schemas.openxmlformats.org/officeDocument/2006/relationships/ctrlProp" Target="../ctrlProps/ctrlProp420.xml"/><Relationship Id="rId31" Type="http://schemas.openxmlformats.org/officeDocument/2006/relationships/ctrlProp" Target="../ctrlProps/ctrlProp432.xml"/><Relationship Id="rId4" Type="http://schemas.openxmlformats.org/officeDocument/2006/relationships/vmlDrawing" Target="../drawings/vmlDrawing22.vml"/><Relationship Id="rId9" Type="http://schemas.openxmlformats.org/officeDocument/2006/relationships/ctrlProp" Target="../ctrlProps/ctrlProp410.xml"/><Relationship Id="rId14" Type="http://schemas.openxmlformats.org/officeDocument/2006/relationships/ctrlProp" Target="../ctrlProps/ctrlProp415.xml"/><Relationship Id="rId22" Type="http://schemas.openxmlformats.org/officeDocument/2006/relationships/ctrlProp" Target="../ctrlProps/ctrlProp423.xml"/><Relationship Id="rId27" Type="http://schemas.openxmlformats.org/officeDocument/2006/relationships/ctrlProp" Target="../ctrlProps/ctrlProp428.xml"/><Relationship Id="rId30" Type="http://schemas.openxmlformats.org/officeDocument/2006/relationships/ctrlProp" Target="../ctrlProps/ctrlProp431.xml"/><Relationship Id="rId35" Type="http://schemas.openxmlformats.org/officeDocument/2006/relationships/ctrlProp" Target="../ctrlProps/ctrlProp436.xm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41.xml"/><Relationship Id="rId13" Type="http://schemas.openxmlformats.org/officeDocument/2006/relationships/ctrlProp" Target="../ctrlProps/ctrlProp446.xml"/><Relationship Id="rId18" Type="http://schemas.openxmlformats.org/officeDocument/2006/relationships/ctrlProp" Target="../ctrlProps/ctrlProp451.xml"/><Relationship Id="rId26" Type="http://schemas.openxmlformats.org/officeDocument/2006/relationships/ctrlProp" Target="../ctrlProps/ctrlProp459.xml"/><Relationship Id="rId3" Type="http://schemas.openxmlformats.org/officeDocument/2006/relationships/drawing" Target="../drawings/drawing27.xml"/><Relationship Id="rId21" Type="http://schemas.openxmlformats.org/officeDocument/2006/relationships/ctrlProp" Target="../ctrlProps/ctrlProp454.xml"/><Relationship Id="rId34" Type="http://schemas.openxmlformats.org/officeDocument/2006/relationships/ctrlProp" Target="../ctrlProps/ctrlProp467.xml"/><Relationship Id="rId7" Type="http://schemas.openxmlformats.org/officeDocument/2006/relationships/ctrlProp" Target="../ctrlProps/ctrlProp440.xml"/><Relationship Id="rId12" Type="http://schemas.openxmlformats.org/officeDocument/2006/relationships/ctrlProp" Target="../ctrlProps/ctrlProp445.xml"/><Relationship Id="rId17" Type="http://schemas.openxmlformats.org/officeDocument/2006/relationships/ctrlProp" Target="../ctrlProps/ctrlProp450.xml"/><Relationship Id="rId25" Type="http://schemas.openxmlformats.org/officeDocument/2006/relationships/ctrlProp" Target="../ctrlProps/ctrlProp458.xml"/><Relationship Id="rId33" Type="http://schemas.openxmlformats.org/officeDocument/2006/relationships/ctrlProp" Target="../ctrlProps/ctrlProp466.xml"/><Relationship Id="rId2" Type="http://schemas.openxmlformats.org/officeDocument/2006/relationships/printerSettings" Target="../printerSettings/printerSettings96.bin"/><Relationship Id="rId16" Type="http://schemas.openxmlformats.org/officeDocument/2006/relationships/ctrlProp" Target="../ctrlProps/ctrlProp449.xml"/><Relationship Id="rId20" Type="http://schemas.openxmlformats.org/officeDocument/2006/relationships/ctrlProp" Target="../ctrlProps/ctrlProp453.xml"/><Relationship Id="rId29" Type="http://schemas.openxmlformats.org/officeDocument/2006/relationships/ctrlProp" Target="../ctrlProps/ctrlProp462.xml"/><Relationship Id="rId1" Type="http://schemas.openxmlformats.org/officeDocument/2006/relationships/printerSettings" Target="../printerSettings/printerSettings95.bin"/><Relationship Id="rId6" Type="http://schemas.openxmlformats.org/officeDocument/2006/relationships/ctrlProp" Target="../ctrlProps/ctrlProp439.xml"/><Relationship Id="rId11" Type="http://schemas.openxmlformats.org/officeDocument/2006/relationships/ctrlProp" Target="../ctrlProps/ctrlProp444.xml"/><Relationship Id="rId24" Type="http://schemas.openxmlformats.org/officeDocument/2006/relationships/ctrlProp" Target="../ctrlProps/ctrlProp457.xml"/><Relationship Id="rId32" Type="http://schemas.openxmlformats.org/officeDocument/2006/relationships/ctrlProp" Target="../ctrlProps/ctrlProp465.xml"/><Relationship Id="rId5" Type="http://schemas.openxmlformats.org/officeDocument/2006/relationships/ctrlProp" Target="../ctrlProps/ctrlProp438.xml"/><Relationship Id="rId15" Type="http://schemas.openxmlformats.org/officeDocument/2006/relationships/ctrlProp" Target="../ctrlProps/ctrlProp448.xml"/><Relationship Id="rId23" Type="http://schemas.openxmlformats.org/officeDocument/2006/relationships/ctrlProp" Target="../ctrlProps/ctrlProp456.xml"/><Relationship Id="rId28" Type="http://schemas.openxmlformats.org/officeDocument/2006/relationships/ctrlProp" Target="../ctrlProps/ctrlProp461.xml"/><Relationship Id="rId36" Type="http://schemas.openxmlformats.org/officeDocument/2006/relationships/ctrlProp" Target="../ctrlProps/ctrlProp469.xml"/><Relationship Id="rId10" Type="http://schemas.openxmlformats.org/officeDocument/2006/relationships/ctrlProp" Target="../ctrlProps/ctrlProp443.xml"/><Relationship Id="rId19" Type="http://schemas.openxmlformats.org/officeDocument/2006/relationships/ctrlProp" Target="../ctrlProps/ctrlProp452.xml"/><Relationship Id="rId31" Type="http://schemas.openxmlformats.org/officeDocument/2006/relationships/ctrlProp" Target="../ctrlProps/ctrlProp464.xml"/><Relationship Id="rId4" Type="http://schemas.openxmlformats.org/officeDocument/2006/relationships/vmlDrawing" Target="../drawings/vmlDrawing23.vml"/><Relationship Id="rId9" Type="http://schemas.openxmlformats.org/officeDocument/2006/relationships/ctrlProp" Target="../ctrlProps/ctrlProp442.xml"/><Relationship Id="rId14" Type="http://schemas.openxmlformats.org/officeDocument/2006/relationships/ctrlProp" Target="../ctrlProps/ctrlProp447.xml"/><Relationship Id="rId22" Type="http://schemas.openxmlformats.org/officeDocument/2006/relationships/ctrlProp" Target="../ctrlProps/ctrlProp455.xml"/><Relationship Id="rId27" Type="http://schemas.openxmlformats.org/officeDocument/2006/relationships/ctrlProp" Target="../ctrlProps/ctrlProp460.xml"/><Relationship Id="rId30" Type="http://schemas.openxmlformats.org/officeDocument/2006/relationships/ctrlProp" Target="../ctrlProps/ctrlProp463.xml"/><Relationship Id="rId35" Type="http://schemas.openxmlformats.org/officeDocument/2006/relationships/ctrlProp" Target="../ctrlProps/ctrlProp468.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473.xml"/><Relationship Id="rId13" Type="http://schemas.openxmlformats.org/officeDocument/2006/relationships/ctrlProp" Target="../ctrlProps/ctrlProp478.xml"/><Relationship Id="rId18" Type="http://schemas.openxmlformats.org/officeDocument/2006/relationships/ctrlProp" Target="../ctrlProps/ctrlProp483.xml"/><Relationship Id="rId26" Type="http://schemas.openxmlformats.org/officeDocument/2006/relationships/ctrlProp" Target="../ctrlProps/ctrlProp491.xml"/><Relationship Id="rId3" Type="http://schemas.openxmlformats.org/officeDocument/2006/relationships/drawing" Target="../drawings/drawing29.xml"/><Relationship Id="rId21" Type="http://schemas.openxmlformats.org/officeDocument/2006/relationships/ctrlProp" Target="../ctrlProps/ctrlProp486.xml"/><Relationship Id="rId34" Type="http://schemas.openxmlformats.org/officeDocument/2006/relationships/ctrlProp" Target="../ctrlProps/ctrlProp499.xml"/><Relationship Id="rId7" Type="http://schemas.openxmlformats.org/officeDocument/2006/relationships/ctrlProp" Target="../ctrlProps/ctrlProp472.x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2" Type="http://schemas.openxmlformats.org/officeDocument/2006/relationships/printerSettings" Target="../printerSettings/printerSettings100.bin"/><Relationship Id="rId16" Type="http://schemas.openxmlformats.org/officeDocument/2006/relationships/ctrlProp" Target="../ctrlProps/ctrlProp481.xml"/><Relationship Id="rId20" Type="http://schemas.openxmlformats.org/officeDocument/2006/relationships/ctrlProp" Target="../ctrlProps/ctrlProp485.xml"/><Relationship Id="rId29" Type="http://schemas.openxmlformats.org/officeDocument/2006/relationships/ctrlProp" Target="../ctrlProps/ctrlProp494.xml"/><Relationship Id="rId1" Type="http://schemas.openxmlformats.org/officeDocument/2006/relationships/printerSettings" Target="../printerSettings/printerSettings99.bin"/><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32" Type="http://schemas.openxmlformats.org/officeDocument/2006/relationships/ctrlProp" Target="../ctrlProps/ctrlProp497.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10" Type="http://schemas.openxmlformats.org/officeDocument/2006/relationships/ctrlProp" Target="../ctrlProps/ctrlProp475.xml"/><Relationship Id="rId19" Type="http://schemas.openxmlformats.org/officeDocument/2006/relationships/ctrlProp" Target="../ctrlProps/ctrlProp484.xml"/><Relationship Id="rId31" Type="http://schemas.openxmlformats.org/officeDocument/2006/relationships/ctrlProp" Target="../ctrlProps/ctrlProp496.xml"/><Relationship Id="rId4" Type="http://schemas.openxmlformats.org/officeDocument/2006/relationships/vmlDrawing" Target="../drawings/vmlDrawing24.v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18" Type="http://schemas.openxmlformats.org/officeDocument/2006/relationships/ctrlProp" Target="../ctrlProps/ctrlProp515.xml"/><Relationship Id="rId26" Type="http://schemas.openxmlformats.org/officeDocument/2006/relationships/ctrlProp" Target="../ctrlProps/ctrlProp523.xml"/><Relationship Id="rId3" Type="http://schemas.openxmlformats.org/officeDocument/2006/relationships/drawing" Target="../drawings/drawing30.xml"/><Relationship Id="rId21" Type="http://schemas.openxmlformats.org/officeDocument/2006/relationships/ctrlProp" Target="../ctrlProps/ctrlProp518.x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5" Type="http://schemas.openxmlformats.org/officeDocument/2006/relationships/ctrlProp" Target="../ctrlProps/ctrlProp522.xml"/><Relationship Id="rId2" Type="http://schemas.openxmlformats.org/officeDocument/2006/relationships/printerSettings" Target="../printerSettings/printerSettings104.bin"/><Relationship Id="rId16" Type="http://schemas.openxmlformats.org/officeDocument/2006/relationships/ctrlProp" Target="../ctrlProps/ctrlProp513.xml"/><Relationship Id="rId20" Type="http://schemas.openxmlformats.org/officeDocument/2006/relationships/ctrlProp" Target="../ctrlProps/ctrlProp517.xml"/><Relationship Id="rId29" Type="http://schemas.openxmlformats.org/officeDocument/2006/relationships/ctrlProp" Target="../ctrlProps/ctrlProp526.xml"/><Relationship Id="rId1" Type="http://schemas.openxmlformats.org/officeDocument/2006/relationships/printerSettings" Target="../printerSettings/printerSettings103.bin"/><Relationship Id="rId6" Type="http://schemas.openxmlformats.org/officeDocument/2006/relationships/ctrlProp" Target="../ctrlProps/ctrlProp503.xml"/><Relationship Id="rId11" Type="http://schemas.openxmlformats.org/officeDocument/2006/relationships/ctrlProp" Target="../ctrlProps/ctrlProp508.xml"/><Relationship Id="rId24" Type="http://schemas.openxmlformats.org/officeDocument/2006/relationships/ctrlProp" Target="../ctrlProps/ctrlProp521.xml"/><Relationship Id="rId5" Type="http://schemas.openxmlformats.org/officeDocument/2006/relationships/ctrlProp" Target="../ctrlProps/ctrlProp502.xml"/><Relationship Id="rId15" Type="http://schemas.openxmlformats.org/officeDocument/2006/relationships/ctrlProp" Target="../ctrlProps/ctrlProp512.xml"/><Relationship Id="rId23" Type="http://schemas.openxmlformats.org/officeDocument/2006/relationships/ctrlProp" Target="../ctrlProps/ctrlProp520.xml"/><Relationship Id="rId28" Type="http://schemas.openxmlformats.org/officeDocument/2006/relationships/ctrlProp" Target="../ctrlProps/ctrlProp525.xml"/><Relationship Id="rId10" Type="http://schemas.openxmlformats.org/officeDocument/2006/relationships/ctrlProp" Target="../ctrlProps/ctrlProp507.xml"/><Relationship Id="rId19" Type="http://schemas.openxmlformats.org/officeDocument/2006/relationships/ctrlProp" Target="../ctrlProps/ctrlProp516.xml"/><Relationship Id="rId4" Type="http://schemas.openxmlformats.org/officeDocument/2006/relationships/vmlDrawing" Target="../drawings/vmlDrawing25.vml"/><Relationship Id="rId9" Type="http://schemas.openxmlformats.org/officeDocument/2006/relationships/ctrlProp" Target="../ctrlProps/ctrlProp506.xml"/><Relationship Id="rId14" Type="http://schemas.openxmlformats.org/officeDocument/2006/relationships/ctrlProp" Target="../ctrlProps/ctrlProp511.xml"/><Relationship Id="rId22" Type="http://schemas.openxmlformats.org/officeDocument/2006/relationships/ctrlProp" Target="../ctrlProps/ctrlProp519.xml"/><Relationship Id="rId27" Type="http://schemas.openxmlformats.org/officeDocument/2006/relationships/ctrlProp" Target="../ctrlProps/ctrlProp524.xml"/><Relationship Id="rId30" Type="http://schemas.openxmlformats.org/officeDocument/2006/relationships/ctrlProp" Target="../ctrlProps/ctrlProp527.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31.xml"/><Relationship Id="rId13" Type="http://schemas.openxmlformats.org/officeDocument/2006/relationships/ctrlProp" Target="../ctrlProps/ctrlProp536.xml"/><Relationship Id="rId18" Type="http://schemas.openxmlformats.org/officeDocument/2006/relationships/ctrlProp" Target="../ctrlProps/ctrlProp541.xml"/><Relationship Id="rId26" Type="http://schemas.openxmlformats.org/officeDocument/2006/relationships/ctrlProp" Target="../ctrlProps/ctrlProp549.xml"/><Relationship Id="rId3" Type="http://schemas.openxmlformats.org/officeDocument/2006/relationships/drawing" Target="../drawings/drawing31.xml"/><Relationship Id="rId21" Type="http://schemas.openxmlformats.org/officeDocument/2006/relationships/ctrlProp" Target="../ctrlProps/ctrlProp544.xml"/><Relationship Id="rId7" Type="http://schemas.openxmlformats.org/officeDocument/2006/relationships/ctrlProp" Target="../ctrlProps/ctrlProp530.xml"/><Relationship Id="rId12" Type="http://schemas.openxmlformats.org/officeDocument/2006/relationships/ctrlProp" Target="../ctrlProps/ctrlProp535.xml"/><Relationship Id="rId17" Type="http://schemas.openxmlformats.org/officeDocument/2006/relationships/ctrlProp" Target="../ctrlProps/ctrlProp540.xml"/><Relationship Id="rId25" Type="http://schemas.openxmlformats.org/officeDocument/2006/relationships/ctrlProp" Target="../ctrlProps/ctrlProp548.xml"/><Relationship Id="rId2" Type="http://schemas.openxmlformats.org/officeDocument/2006/relationships/printerSettings" Target="../printerSettings/printerSettings108.bin"/><Relationship Id="rId16" Type="http://schemas.openxmlformats.org/officeDocument/2006/relationships/ctrlProp" Target="../ctrlProps/ctrlProp539.xml"/><Relationship Id="rId20" Type="http://schemas.openxmlformats.org/officeDocument/2006/relationships/ctrlProp" Target="../ctrlProps/ctrlProp543.xml"/><Relationship Id="rId29" Type="http://schemas.openxmlformats.org/officeDocument/2006/relationships/ctrlProp" Target="../ctrlProps/ctrlProp552.xml"/><Relationship Id="rId1" Type="http://schemas.openxmlformats.org/officeDocument/2006/relationships/printerSettings" Target="../printerSettings/printerSettings107.bin"/><Relationship Id="rId6" Type="http://schemas.openxmlformats.org/officeDocument/2006/relationships/ctrlProp" Target="../ctrlProps/ctrlProp529.xml"/><Relationship Id="rId11" Type="http://schemas.openxmlformats.org/officeDocument/2006/relationships/ctrlProp" Target="../ctrlProps/ctrlProp534.xml"/><Relationship Id="rId24" Type="http://schemas.openxmlformats.org/officeDocument/2006/relationships/ctrlProp" Target="../ctrlProps/ctrlProp547.xml"/><Relationship Id="rId5" Type="http://schemas.openxmlformats.org/officeDocument/2006/relationships/ctrlProp" Target="../ctrlProps/ctrlProp528.xml"/><Relationship Id="rId15" Type="http://schemas.openxmlformats.org/officeDocument/2006/relationships/ctrlProp" Target="../ctrlProps/ctrlProp538.xml"/><Relationship Id="rId23" Type="http://schemas.openxmlformats.org/officeDocument/2006/relationships/ctrlProp" Target="../ctrlProps/ctrlProp546.xml"/><Relationship Id="rId28" Type="http://schemas.openxmlformats.org/officeDocument/2006/relationships/ctrlProp" Target="../ctrlProps/ctrlProp551.xml"/><Relationship Id="rId10" Type="http://schemas.openxmlformats.org/officeDocument/2006/relationships/ctrlProp" Target="../ctrlProps/ctrlProp533.xml"/><Relationship Id="rId19" Type="http://schemas.openxmlformats.org/officeDocument/2006/relationships/ctrlProp" Target="../ctrlProps/ctrlProp542.xml"/><Relationship Id="rId4" Type="http://schemas.openxmlformats.org/officeDocument/2006/relationships/vmlDrawing" Target="../drawings/vmlDrawing26.vml"/><Relationship Id="rId9" Type="http://schemas.openxmlformats.org/officeDocument/2006/relationships/ctrlProp" Target="../ctrlProps/ctrlProp532.xml"/><Relationship Id="rId14" Type="http://schemas.openxmlformats.org/officeDocument/2006/relationships/ctrlProp" Target="../ctrlProps/ctrlProp537.xml"/><Relationship Id="rId22" Type="http://schemas.openxmlformats.org/officeDocument/2006/relationships/ctrlProp" Target="../ctrlProps/ctrlProp545.xml"/><Relationship Id="rId27" Type="http://schemas.openxmlformats.org/officeDocument/2006/relationships/ctrlProp" Target="../ctrlProps/ctrlProp550.xml"/><Relationship Id="rId30" Type="http://schemas.openxmlformats.org/officeDocument/2006/relationships/ctrlProp" Target="../ctrlProps/ctrlProp553.xm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557.xml"/><Relationship Id="rId13" Type="http://schemas.openxmlformats.org/officeDocument/2006/relationships/ctrlProp" Target="../ctrlProps/ctrlProp562.xml"/><Relationship Id="rId18" Type="http://schemas.openxmlformats.org/officeDocument/2006/relationships/ctrlProp" Target="../ctrlProps/ctrlProp567.xml"/><Relationship Id="rId26" Type="http://schemas.openxmlformats.org/officeDocument/2006/relationships/ctrlProp" Target="../ctrlProps/ctrlProp575.xml"/><Relationship Id="rId3" Type="http://schemas.openxmlformats.org/officeDocument/2006/relationships/drawing" Target="../drawings/drawing32.xml"/><Relationship Id="rId21" Type="http://schemas.openxmlformats.org/officeDocument/2006/relationships/ctrlProp" Target="../ctrlProps/ctrlProp570.xml"/><Relationship Id="rId7" Type="http://schemas.openxmlformats.org/officeDocument/2006/relationships/ctrlProp" Target="../ctrlProps/ctrlProp556.xml"/><Relationship Id="rId12" Type="http://schemas.openxmlformats.org/officeDocument/2006/relationships/ctrlProp" Target="../ctrlProps/ctrlProp561.xml"/><Relationship Id="rId17" Type="http://schemas.openxmlformats.org/officeDocument/2006/relationships/ctrlProp" Target="../ctrlProps/ctrlProp566.xml"/><Relationship Id="rId25" Type="http://schemas.openxmlformats.org/officeDocument/2006/relationships/ctrlProp" Target="../ctrlProps/ctrlProp574.xml"/><Relationship Id="rId2" Type="http://schemas.openxmlformats.org/officeDocument/2006/relationships/printerSettings" Target="../printerSettings/printerSettings112.bin"/><Relationship Id="rId16" Type="http://schemas.openxmlformats.org/officeDocument/2006/relationships/ctrlProp" Target="../ctrlProps/ctrlProp565.xml"/><Relationship Id="rId20" Type="http://schemas.openxmlformats.org/officeDocument/2006/relationships/ctrlProp" Target="../ctrlProps/ctrlProp569.xml"/><Relationship Id="rId29" Type="http://schemas.openxmlformats.org/officeDocument/2006/relationships/ctrlProp" Target="../ctrlProps/ctrlProp578.xml"/><Relationship Id="rId1" Type="http://schemas.openxmlformats.org/officeDocument/2006/relationships/printerSettings" Target="../printerSettings/printerSettings111.bin"/><Relationship Id="rId6" Type="http://schemas.openxmlformats.org/officeDocument/2006/relationships/ctrlProp" Target="../ctrlProps/ctrlProp555.xml"/><Relationship Id="rId11" Type="http://schemas.openxmlformats.org/officeDocument/2006/relationships/ctrlProp" Target="../ctrlProps/ctrlProp560.xml"/><Relationship Id="rId24" Type="http://schemas.openxmlformats.org/officeDocument/2006/relationships/ctrlProp" Target="../ctrlProps/ctrlProp573.xml"/><Relationship Id="rId5" Type="http://schemas.openxmlformats.org/officeDocument/2006/relationships/ctrlProp" Target="../ctrlProps/ctrlProp554.xml"/><Relationship Id="rId15" Type="http://schemas.openxmlformats.org/officeDocument/2006/relationships/ctrlProp" Target="../ctrlProps/ctrlProp564.xml"/><Relationship Id="rId23" Type="http://schemas.openxmlformats.org/officeDocument/2006/relationships/ctrlProp" Target="../ctrlProps/ctrlProp572.xml"/><Relationship Id="rId28" Type="http://schemas.openxmlformats.org/officeDocument/2006/relationships/ctrlProp" Target="../ctrlProps/ctrlProp577.xml"/><Relationship Id="rId10" Type="http://schemas.openxmlformats.org/officeDocument/2006/relationships/ctrlProp" Target="../ctrlProps/ctrlProp559.xml"/><Relationship Id="rId19" Type="http://schemas.openxmlformats.org/officeDocument/2006/relationships/ctrlProp" Target="../ctrlProps/ctrlProp568.xml"/><Relationship Id="rId4" Type="http://schemas.openxmlformats.org/officeDocument/2006/relationships/vmlDrawing" Target="../drawings/vmlDrawing27.vml"/><Relationship Id="rId9" Type="http://schemas.openxmlformats.org/officeDocument/2006/relationships/ctrlProp" Target="../ctrlProps/ctrlProp558.xml"/><Relationship Id="rId14" Type="http://schemas.openxmlformats.org/officeDocument/2006/relationships/ctrlProp" Target="../ctrlProps/ctrlProp563.xml"/><Relationship Id="rId22" Type="http://schemas.openxmlformats.org/officeDocument/2006/relationships/ctrlProp" Target="../ctrlProps/ctrlProp571.xml"/><Relationship Id="rId27" Type="http://schemas.openxmlformats.org/officeDocument/2006/relationships/ctrlProp" Target="../ctrlProps/ctrlProp576.xml"/><Relationship Id="rId30" Type="http://schemas.openxmlformats.org/officeDocument/2006/relationships/ctrlProp" Target="../ctrlProps/ctrlProp579.xm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hyperlink" Target="http://www.landwirtschaft-bw.info/pb/MLR.Foerderung,Lde/Startseite/Foerderwegweiser" TargetMode="External"/><Relationship Id="rId2" Type="http://schemas.openxmlformats.org/officeDocument/2006/relationships/hyperlink" Target="http://www.bauernverband.de/praemienschaetzer" TargetMode="External"/><Relationship Id="rId1" Type="http://schemas.openxmlformats.org/officeDocument/2006/relationships/printerSettings" Target="../printerSettings/printerSettings15.bin"/><Relationship Id="rId4"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ctrlProp" Target="../ctrlProps/ctrlProp3.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AA115"/>
  <sheetViews>
    <sheetView showGridLines="0" tabSelected="1" zoomScale="85" zoomScaleNormal="85" zoomScaleSheetLayoutView="75" workbookViewId="0"/>
  </sheetViews>
  <sheetFormatPr baseColWidth="10" defaultColWidth="11.375" defaultRowHeight="18.350000000000001" x14ac:dyDescent="0.3"/>
  <cols>
    <col min="1" max="1" width="2.625" style="246" customWidth="1"/>
    <col min="2" max="2" width="1.625" style="246" customWidth="1"/>
    <col min="3" max="3" width="2.375" style="246" customWidth="1"/>
    <col min="4" max="4" width="16.625" style="246" customWidth="1"/>
    <col min="5" max="5" width="20.125" style="246" customWidth="1"/>
    <col min="6" max="6" width="22.625" style="246" customWidth="1"/>
    <col min="7" max="7" width="25.625" style="246" customWidth="1"/>
    <col min="8" max="8" width="22.875" style="246" customWidth="1"/>
    <col min="9" max="9" width="22.375" style="2094" customWidth="1"/>
    <col min="10" max="17" width="0" style="246" hidden="1" customWidth="1"/>
    <col min="18" max="16384" width="11.375" style="246"/>
  </cols>
  <sheetData>
    <row r="1" spans="2:27" ht="19.05" thickBot="1" x14ac:dyDescent="0.35"/>
    <row r="2" spans="2:27" ht="34.5" customHeight="1" x14ac:dyDescent="0.2">
      <c r="B2" s="3160" t="s">
        <v>714</v>
      </c>
      <c r="C2" s="3161"/>
      <c r="D2" s="3161"/>
      <c r="E2" s="3161"/>
      <c r="F2" s="3161"/>
      <c r="G2" s="3161"/>
      <c r="H2" s="3161"/>
      <c r="I2" s="3162"/>
    </row>
    <row r="3" spans="2:27" ht="30.75" customHeight="1" x14ac:dyDescent="0.2">
      <c r="B3" s="3163" t="s">
        <v>955</v>
      </c>
      <c r="C3" s="3164"/>
      <c r="D3" s="3164"/>
      <c r="E3" s="3164"/>
      <c r="F3" s="3164"/>
      <c r="G3" s="3164"/>
      <c r="H3" s="3164"/>
      <c r="I3" s="3165"/>
      <c r="R3"/>
      <c r="S3"/>
      <c r="T3"/>
      <c r="U3"/>
      <c r="V3"/>
      <c r="W3"/>
      <c r="X3"/>
      <c r="Y3"/>
      <c r="Z3"/>
      <c r="AA3"/>
    </row>
    <row r="4" spans="2:27" s="243" customFormat="1" ht="30.75" customHeight="1" x14ac:dyDescent="0.2">
      <c r="B4" s="3166" t="s">
        <v>267</v>
      </c>
      <c r="C4" s="3167"/>
      <c r="D4" s="3167"/>
      <c r="E4" s="3167"/>
      <c r="F4" s="3167"/>
      <c r="G4" s="3167"/>
      <c r="H4" s="3167"/>
      <c r="I4" s="3168"/>
      <c r="R4"/>
      <c r="S4"/>
      <c r="T4"/>
      <c r="U4"/>
      <c r="V4"/>
      <c r="W4"/>
      <c r="X4"/>
      <c r="Y4"/>
      <c r="Z4"/>
      <c r="AA4"/>
    </row>
    <row r="5" spans="2:27" s="243" customFormat="1" ht="30.75" customHeight="1" x14ac:dyDescent="0.2">
      <c r="B5" s="3163">
        <f>Prämien!Y2</f>
        <v>2018</v>
      </c>
      <c r="C5" s="3164"/>
      <c r="D5" s="3164"/>
      <c r="E5" s="3164"/>
      <c r="F5" s="3164"/>
      <c r="G5" s="3164"/>
      <c r="H5" s="3164"/>
      <c r="I5" s="3165"/>
      <c r="R5"/>
      <c r="S5"/>
      <c r="T5"/>
      <c r="U5"/>
      <c r="V5"/>
      <c r="W5"/>
      <c r="X5"/>
      <c r="Y5"/>
      <c r="Z5"/>
      <c r="AA5"/>
    </row>
    <row r="6" spans="2:27" s="243" customFormat="1" ht="10.55" customHeight="1" x14ac:dyDescent="0.2">
      <c r="B6" s="2279"/>
      <c r="C6" s="2280"/>
      <c r="D6" s="2280"/>
      <c r="E6" s="2280"/>
      <c r="F6" s="2280"/>
      <c r="G6" s="2280"/>
      <c r="H6" s="2280"/>
      <c r="I6" s="2281"/>
      <c r="R6"/>
      <c r="S6"/>
      <c r="T6"/>
      <c r="U6"/>
      <c r="V6"/>
      <c r="W6"/>
      <c r="X6"/>
      <c r="Y6"/>
      <c r="Z6"/>
      <c r="AA6"/>
    </row>
    <row r="7" spans="2:27" s="243" customFormat="1" ht="16.5" customHeight="1" x14ac:dyDescent="0.25">
      <c r="B7" s="2264" t="s">
        <v>1418</v>
      </c>
      <c r="C7" s="2261"/>
      <c r="D7" s="2262"/>
      <c r="E7" s="2262"/>
      <c r="F7" s="2262"/>
      <c r="G7" s="2262"/>
      <c r="H7" s="2262"/>
      <c r="I7" s="971"/>
      <c r="R7"/>
      <c r="S7"/>
      <c r="T7"/>
      <c r="U7"/>
      <c r="V7"/>
      <c r="W7"/>
      <c r="X7"/>
      <c r="Y7"/>
      <c r="Z7"/>
      <c r="AA7"/>
    </row>
    <row r="8" spans="2:27" s="243" customFormat="1" ht="14.95" customHeight="1" x14ac:dyDescent="0.25">
      <c r="B8" s="2282" t="s">
        <v>750</v>
      </c>
      <c r="C8" s="2263"/>
      <c r="D8" s="2262"/>
      <c r="E8" s="2262"/>
      <c r="F8" s="2262"/>
      <c r="G8" s="2262"/>
      <c r="H8" s="2262"/>
      <c r="I8" s="971"/>
    </row>
    <row r="9" spans="2:27" s="243" customFormat="1" ht="18.7" customHeight="1" thickBot="1" x14ac:dyDescent="0.3">
      <c r="B9" s="3111" t="s">
        <v>1399</v>
      </c>
      <c r="C9" s="2299"/>
      <c r="D9" s="2265"/>
      <c r="E9" s="2265"/>
      <c r="F9" s="2265"/>
      <c r="G9" s="2265"/>
      <c r="H9" s="2265"/>
      <c r="I9" s="2290" t="s">
        <v>1417</v>
      </c>
    </row>
    <row r="10" spans="2:27" s="243" customFormat="1" ht="14.3" customHeight="1" x14ac:dyDescent="0.25">
      <c r="C10" s="7"/>
      <c r="D10" s="2268"/>
      <c r="E10" s="2266"/>
      <c r="F10" s="2266"/>
      <c r="G10" s="2266"/>
      <c r="H10" s="2266"/>
      <c r="I10" s="2267"/>
    </row>
    <row r="11" spans="2:27" s="243" customFormat="1" ht="21.25" customHeight="1" thickBot="1" x14ac:dyDescent="0.3">
      <c r="B11" s="2283" t="s">
        <v>257</v>
      </c>
      <c r="C11" s="2284"/>
      <c r="D11" s="2285"/>
      <c r="E11" s="2285"/>
      <c r="F11" s="2285"/>
      <c r="G11" s="2285"/>
      <c r="H11" s="2285"/>
      <c r="I11" s="2286"/>
    </row>
    <row r="12" spans="2:27" s="243" customFormat="1" ht="19.2" customHeight="1" x14ac:dyDescent="0.2">
      <c r="B12" s="1365"/>
      <c r="C12" s="1365" t="s">
        <v>892</v>
      </c>
      <c r="D12" s="1365" t="s">
        <v>893</v>
      </c>
      <c r="E12" s="1365"/>
      <c r="F12" s="1365"/>
      <c r="G12" s="1365"/>
      <c r="H12" s="1365"/>
      <c r="I12" s="1365"/>
    </row>
    <row r="13" spans="2:27" s="968" customFormat="1" ht="26.35" customHeight="1" x14ac:dyDescent="0.2">
      <c r="B13" s="2312"/>
      <c r="C13" s="2312"/>
      <c r="D13" s="2312" t="s">
        <v>259</v>
      </c>
      <c r="E13" s="2312"/>
      <c r="F13" s="2311"/>
      <c r="G13" s="2312"/>
      <c r="H13" s="2311"/>
      <c r="I13" s="2277" t="s">
        <v>715</v>
      </c>
      <c r="J13" s="1312"/>
      <c r="K13"/>
      <c r="L13"/>
      <c r="M13" s="2269"/>
      <c r="N13" s="8"/>
      <c r="O13" s="8"/>
      <c r="P13" s="8"/>
      <c r="Q13" s="8"/>
      <c r="R13" s="8"/>
      <c r="V13" s="2278"/>
    </row>
    <row r="14" spans="2:27" s="243" customFormat="1" ht="23.95" customHeight="1" x14ac:dyDescent="0.2">
      <c r="B14" s="1365"/>
      <c r="C14" s="1365" t="s">
        <v>260</v>
      </c>
      <c r="D14" s="1365"/>
      <c r="E14" s="1365"/>
      <c r="F14" s="1365"/>
      <c r="G14" s="1365"/>
      <c r="H14" s="1365"/>
      <c r="I14" s="1365"/>
      <c r="J14" s="1312"/>
      <c r="K14"/>
      <c r="L14"/>
      <c r="M14" s="2269"/>
      <c r="N14" s="8"/>
      <c r="O14" s="8"/>
      <c r="P14" s="8"/>
      <c r="Q14" s="8"/>
      <c r="R14" s="8"/>
    </row>
    <row r="15" spans="2:27" s="243" customFormat="1" ht="20.25" customHeight="1" x14ac:dyDescent="0.25">
      <c r="B15" s="2313"/>
      <c r="C15" s="2313"/>
      <c r="D15" s="2314" t="s">
        <v>894</v>
      </c>
      <c r="E15" s="2314"/>
      <c r="F15" s="2314"/>
      <c r="G15" s="2315"/>
      <c r="H15" s="2378"/>
      <c r="I15" s="2277" t="s">
        <v>716</v>
      </c>
      <c r="J15" s="1170"/>
      <c r="K15"/>
      <c r="L15"/>
      <c r="M15" s="2269"/>
      <c r="N15" s="8"/>
      <c r="O15" s="8"/>
      <c r="P15" s="8"/>
      <c r="Q15" s="8"/>
      <c r="R15" s="8"/>
    </row>
    <row r="16" spans="2:27" s="243" customFormat="1" ht="20.399999999999999" customHeight="1" x14ac:dyDescent="0.25">
      <c r="B16" s="2329"/>
      <c r="C16" s="2313"/>
      <c r="D16" s="2314" t="s">
        <v>895</v>
      </c>
      <c r="E16" s="2314"/>
      <c r="F16" s="2314"/>
      <c r="G16" s="2315"/>
      <c r="H16" s="2378"/>
      <c r="I16" s="2277" t="s">
        <v>717</v>
      </c>
      <c r="J16" s="1312"/>
      <c r="K16"/>
      <c r="L16"/>
      <c r="M16" s="2269"/>
      <c r="N16" s="8"/>
      <c r="O16" s="8"/>
      <c r="P16" s="8"/>
      <c r="Q16" s="8"/>
      <c r="R16" s="8"/>
    </row>
    <row r="17" spans="2:20" s="243" customFormat="1" ht="23.95" customHeight="1" x14ac:dyDescent="0.2">
      <c r="B17" s="1365"/>
      <c r="C17" s="1365" t="s">
        <v>261</v>
      </c>
      <c r="D17" s="1365"/>
      <c r="E17" s="1365"/>
      <c r="F17" s="1365"/>
      <c r="G17" s="1365"/>
      <c r="H17" s="1365"/>
      <c r="I17" s="1365"/>
    </row>
    <row r="18" spans="2:20" s="243" customFormat="1" ht="23.95" customHeight="1" x14ac:dyDescent="0.25">
      <c r="B18" s="2317"/>
      <c r="C18" s="2313"/>
      <c r="D18" s="2547" t="s">
        <v>896</v>
      </c>
      <c r="E18" s="2314"/>
      <c r="F18" s="2314"/>
      <c r="G18" s="2315"/>
      <c r="H18" s="2378"/>
      <c r="I18" s="2277" t="s">
        <v>718</v>
      </c>
      <c r="J18" s="1312"/>
      <c r="K18"/>
      <c r="L18"/>
      <c r="M18" s="2269"/>
      <c r="N18" s="8"/>
      <c r="O18" s="8"/>
      <c r="P18" s="8"/>
      <c r="Q18" s="8"/>
      <c r="R18" s="8"/>
    </row>
    <row r="19" spans="2:20" s="243" customFormat="1" ht="19.7" customHeight="1" x14ac:dyDescent="0.25">
      <c r="B19" s="2329"/>
      <c r="C19" s="2313"/>
      <c r="D19" s="2547" t="s">
        <v>897</v>
      </c>
      <c r="E19" s="2314"/>
      <c r="F19" s="2314"/>
      <c r="G19" s="2315"/>
      <c r="H19" s="2378"/>
      <c r="I19" s="2277" t="s">
        <v>719</v>
      </c>
      <c r="J19" s="1312"/>
      <c r="K19"/>
      <c r="L19"/>
      <c r="M19" s="2269"/>
      <c r="N19" s="8"/>
      <c r="O19" s="8"/>
      <c r="P19" s="8"/>
      <c r="Q19" s="8"/>
      <c r="R19" s="8"/>
    </row>
    <row r="20" spans="2:20" s="243" customFormat="1" ht="18.7" customHeight="1" x14ac:dyDescent="0.2">
      <c r="B20" s="1365"/>
      <c r="C20" s="1365" t="s">
        <v>262</v>
      </c>
      <c r="D20" s="1365"/>
      <c r="E20" s="1365"/>
      <c r="F20" s="1365"/>
      <c r="G20" s="1365"/>
      <c r="H20" s="1365"/>
      <c r="I20" s="1365"/>
      <c r="J20" s="1312"/>
      <c r="K20"/>
      <c r="L20"/>
      <c r="M20" s="2269"/>
      <c r="N20" s="8"/>
      <c r="O20" s="8"/>
      <c r="P20" s="8"/>
      <c r="Q20" s="8"/>
      <c r="R20" s="8"/>
    </row>
    <row r="21" spans="2:20" s="243" customFormat="1" ht="18.7" customHeight="1" x14ac:dyDescent="0.25">
      <c r="B21" s="2317"/>
      <c r="C21" s="2313"/>
      <c r="D21" s="2547" t="s">
        <v>898</v>
      </c>
      <c r="E21" s="2314"/>
      <c r="F21" s="2314"/>
      <c r="G21" s="2315"/>
      <c r="H21" s="2378"/>
      <c r="I21" s="2277" t="s">
        <v>563</v>
      </c>
      <c r="J21" s="1312"/>
      <c r="K21"/>
      <c r="L21"/>
      <c r="M21" s="8"/>
      <c r="N21" s="8"/>
      <c r="O21" s="8"/>
      <c r="P21" s="8"/>
      <c r="Q21" s="8"/>
      <c r="R21" s="8"/>
    </row>
    <row r="22" spans="2:20" s="243" customFormat="1" ht="18.7" customHeight="1" x14ac:dyDescent="0.25">
      <c r="B22" s="2329"/>
      <c r="C22" s="2313"/>
      <c r="D22" s="2547" t="s">
        <v>899</v>
      </c>
      <c r="E22" s="2314"/>
      <c r="F22" s="2314"/>
      <c r="G22" s="2315"/>
      <c r="H22" s="2378"/>
      <c r="I22" s="2277" t="s">
        <v>1277</v>
      </c>
      <c r="J22" s="1312"/>
      <c r="K22"/>
      <c r="L22"/>
      <c r="M22" s="8"/>
      <c r="N22" s="8"/>
      <c r="O22" s="8"/>
      <c r="P22" s="8"/>
      <c r="Q22" s="8"/>
    </row>
    <row r="23" spans="2:20" s="243" customFormat="1" ht="18.7" customHeight="1" x14ac:dyDescent="0.25">
      <c r="B23" s="2329"/>
      <c r="C23" s="2313"/>
      <c r="D23" s="2547" t="s">
        <v>900</v>
      </c>
      <c r="E23" s="2314"/>
      <c r="F23" s="2314"/>
      <c r="G23" s="2315"/>
      <c r="H23" s="2378"/>
      <c r="I23" s="2277" t="s">
        <v>171</v>
      </c>
      <c r="J23" s="1312"/>
      <c r="K23"/>
      <c r="L23"/>
      <c r="M23" s="8"/>
      <c r="N23" s="8"/>
      <c r="O23" s="8"/>
      <c r="P23" s="8"/>
      <c r="Q23" s="8"/>
      <c r="R23" s="8"/>
    </row>
    <row r="24" spans="2:20" s="243" customFormat="1" ht="18.7" customHeight="1" x14ac:dyDescent="0.25">
      <c r="B24" s="2329"/>
      <c r="C24" s="2313"/>
      <c r="D24" s="2547" t="s">
        <v>901</v>
      </c>
      <c r="E24" s="2314"/>
      <c r="F24" s="2314"/>
      <c r="G24" s="2315"/>
      <c r="H24" s="2378"/>
      <c r="I24" s="2277" t="s">
        <v>721</v>
      </c>
      <c r="J24" s="2268"/>
      <c r="K24">
        <v>1</v>
      </c>
      <c r="L24"/>
      <c r="M24" s="8"/>
      <c r="N24" s="8"/>
      <c r="O24" s="8">
        <v>0</v>
      </c>
      <c r="P24" s="8">
        <f>IF(ISTEXT(O24),1,0)</f>
        <v>0</v>
      </c>
      <c r="Q24" s="8"/>
      <c r="R24" s="8"/>
    </row>
    <row r="25" spans="2:20" s="243" customFormat="1" ht="17" customHeight="1" x14ac:dyDescent="0.25">
      <c r="B25" s="2329"/>
      <c r="C25" s="2313"/>
      <c r="D25" s="2547" t="s">
        <v>902</v>
      </c>
      <c r="E25" s="2314"/>
      <c r="F25" s="2314"/>
      <c r="G25" s="2315"/>
      <c r="H25" s="2378"/>
      <c r="I25" s="2277" t="s">
        <v>751</v>
      </c>
      <c r="J25" s="2268"/>
      <c r="K25" s="405">
        <v>2</v>
      </c>
      <c r="L25"/>
      <c r="M25" s="8"/>
      <c r="N25" s="8"/>
      <c r="O25" s="8">
        <v>0</v>
      </c>
      <c r="P25" s="8">
        <f t="shared" ref="P25:P54" si="0">IF(ISTEXT(O25),1,0)</f>
        <v>0</v>
      </c>
      <c r="Q25" s="8"/>
      <c r="R25" s="8"/>
    </row>
    <row r="26" spans="2:20" s="243" customFormat="1" ht="17" customHeight="1" x14ac:dyDescent="0.25">
      <c r="B26" s="2329"/>
      <c r="C26" s="2313"/>
      <c r="D26" s="2547" t="s">
        <v>903</v>
      </c>
      <c r="E26" s="2314"/>
      <c r="F26" s="2314"/>
      <c r="G26" s="2315"/>
      <c r="H26" s="2378"/>
      <c r="I26" s="2277" t="s">
        <v>720</v>
      </c>
      <c r="J26" s="2268"/>
      <c r="K26">
        <v>3</v>
      </c>
      <c r="L26"/>
      <c r="M26" s="8"/>
      <c r="N26" s="8"/>
      <c r="O26" s="8">
        <v>0</v>
      </c>
      <c r="P26" s="8">
        <f t="shared" si="0"/>
        <v>0</v>
      </c>
      <c r="Q26" s="8"/>
      <c r="R26" s="8"/>
    </row>
    <row r="27" spans="2:20" s="243" customFormat="1" ht="17" customHeight="1" x14ac:dyDescent="0.2">
      <c r="B27" s="1365"/>
      <c r="C27" s="1365" t="s">
        <v>247</v>
      </c>
      <c r="D27" s="1365"/>
      <c r="E27" s="1365"/>
      <c r="F27" s="1365"/>
      <c r="G27" s="1365"/>
      <c r="H27" s="1365"/>
      <c r="I27" s="1365"/>
      <c r="J27" s="1312"/>
      <c r="K27" s="405">
        <v>8</v>
      </c>
      <c r="L27"/>
      <c r="M27" s="2269"/>
      <c r="N27" s="2271"/>
      <c r="O27" s="8">
        <v>0</v>
      </c>
      <c r="P27" s="8">
        <f t="shared" si="0"/>
        <v>0</v>
      </c>
      <c r="Q27" s="8"/>
      <c r="R27" s="8"/>
    </row>
    <row r="28" spans="2:20" s="243" customFormat="1" ht="17" customHeight="1" x14ac:dyDescent="0.2">
      <c r="B28" s="2548"/>
      <c r="C28" s="2548"/>
      <c r="D28" s="2548" t="s">
        <v>754</v>
      </c>
      <c r="E28" s="2548" t="s">
        <v>248</v>
      </c>
      <c r="F28" s="2548"/>
      <c r="G28" s="2548" t="s">
        <v>904</v>
      </c>
      <c r="H28" s="2548"/>
      <c r="I28" s="2548"/>
      <c r="J28" s="1312"/>
      <c r="K28" s="405"/>
      <c r="L28"/>
      <c r="M28" s="2269"/>
      <c r="N28" s="2271"/>
      <c r="O28" s="8"/>
      <c r="P28" s="8"/>
      <c r="Q28" s="8"/>
      <c r="R28" s="8"/>
    </row>
    <row r="29" spans="2:20" s="243" customFormat="1" ht="30.6" customHeight="1" x14ac:dyDescent="0.25">
      <c r="B29" s="2329"/>
      <c r="C29" s="2313"/>
      <c r="D29" s="2314"/>
      <c r="E29" s="2314"/>
      <c r="F29" s="2314"/>
      <c r="G29" s="2315"/>
      <c r="H29" s="2378" t="s">
        <v>801</v>
      </c>
      <c r="I29" s="2378" t="s">
        <v>802</v>
      </c>
      <c r="J29" s="1312"/>
      <c r="K29">
        <v>9</v>
      </c>
      <c r="L29" s="405"/>
      <c r="M29" s="2269"/>
      <c r="N29" s="2271"/>
      <c r="O29" s="8">
        <v>0</v>
      </c>
      <c r="P29" s="8">
        <f t="shared" si="0"/>
        <v>0</v>
      </c>
      <c r="Q29" s="8"/>
      <c r="R29" s="8"/>
    </row>
    <row r="30" spans="2:20" s="371" customFormat="1" ht="14.95" customHeight="1" x14ac:dyDescent="0.2">
      <c r="B30" s="2317"/>
      <c r="C30" s="2316"/>
      <c r="D30" s="2314"/>
      <c r="E30" s="2317" t="s">
        <v>249</v>
      </c>
      <c r="F30" s="2314"/>
      <c r="G30" s="2316" t="s">
        <v>956</v>
      </c>
      <c r="H30" s="2277" t="s">
        <v>722</v>
      </c>
      <c r="I30" s="2277" t="s">
        <v>727</v>
      </c>
      <c r="J30" s="1312"/>
      <c r="K30" s="405">
        <v>10</v>
      </c>
      <c r="L30"/>
      <c r="M30" s="2269"/>
      <c r="N30" s="2271"/>
      <c r="O30" s="8">
        <v>0</v>
      </c>
      <c r="P30" s="8">
        <f t="shared" si="0"/>
        <v>0</v>
      </c>
      <c r="Q30" s="8"/>
      <c r="R30" s="8"/>
      <c r="S30"/>
      <c r="T30"/>
    </row>
    <row r="31" spans="2:20" s="371" customFormat="1" ht="14.95" customHeight="1" x14ac:dyDescent="0.2">
      <c r="B31" s="2317"/>
      <c r="C31" s="2316"/>
      <c r="D31" s="2314"/>
      <c r="E31" s="2314"/>
      <c r="F31" s="2314"/>
      <c r="G31" s="2316" t="s">
        <v>957</v>
      </c>
      <c r="H31" s="2277" t="s">
        <v>723</v>
      </c>
      <c r="I31" s="2277" t="s">
        <v>728</v>
      </c>
      <c r="J31" s="1312"/>
      <c r="K31">
        <v>11</v>
      </c>
      <c r="L31"/>
      <c r="M31" s="2269"/>
      <c r="N31" s="2271"/>
      <c r="O31" s="8">
        <v>0</v>
      </c>
      <c r="P31" s="8">
        <f t="shared" si="0"/>
        <v>0</v>
      </c>
      <c r="Q31" s="8"/>
      <c r="R31" s="8"/>
      <c r="S31"/>
      <c r="T31"/>
    </row>
    <row r="32" spans="2:20" s="371" customFormat="1" ht="14.95" customHeight="1" x14ac:dyDescent="0.2">
      <c r="B32" s="2317"/>
      <c r="C32" s="2317"/>
      <c r="D32" s="2314"/>
      <c r="E32" s="2314"/>
      <c r="F32" s="2314"/>
      <c r="G32" s="2316"/>
      <c r="H32" s="2326"/>
      <c r="I32" s="2326"/>
      <c r="J32" s="1312"/>
      <c r="K32" s="405">
        <v>12</v>
      </c>
      <c r="L32"/>
      <c r="M32" s="2269"/>
      <c r="N32" s="2271"/>
      <c r="O32" s="8"/>
      <c r="P32" s="8">
        <f t="shared" si="0"/>
        <v>0</v>
      </c>
      <c r="Q32" s="8"/>
      <c r="R32" s="8"/>
    </row>
    <row r="33" spans="2:18" s="371" customFormat="1" ht="14.95" customHeight="1" x14ac:dyDescent="0.25">
      <c r="B33" s="2317"/>
      <c r="C33" s="2317"/>
      <c r="D33" s="2314"/>
      <c r="E33" s="2314"/>
      <c r="F33" s="2314"/>
      <c r="G33" s="2318"/>
      <c r="H33" s="2327"/>
      <c r="I33" s="2327"/>
      <c r="J33" s="1312"/>
      <c r="K33">
        <v>13</v>
      </c>
      <c r="L33"/>
      <c r="M33" s="2269"/>
      <c r="N33" s="2271"/>
      <c r="O33" s="8">
        <v>0</v>
      </c>
      <c r="P33" s="8">
        <f t="shared" si="0"/>
        <v>0</v>
      </c>
      <c r="Q33" s="8"/>
      <c r="R33" s="8"/>
    </row>
    <row r="34" spans="2:18" s="371" customFormat="1" ht="14.95" customHeight="1" x14ac:dyDescent="0.2">
      <c r="B34" s="2317"/>
      <c r="C34" s="2317"/>
      <c r="D34" s="2319"/>
      <c r="E34" s="2317" t="s">
        <v>250</v>
      </c>
      <c r="F34" s="2320" t="s">
        <v>33</v>
      </c>
      <c r="G34" s="2316" t="s">
        <v>956</v>
      </c>
      <c r="H34" s="2277" t="s">
        <v>724</v>
      </c>
      <c r="I34" s="2277" t="s">
        <v>729</v>
      </c>
      <c r="J34" s="1312"/>
      <c r="K34" s="405">
        <v>14</v>
      </c>
      <c r="L34"/>
      <c r="M34" s="2269"/>
      <c r="N34" s="2271"/>
      <c r="O34" s="8">
        <v>0</v>
      </c>
      <c r="P34" s="8">
        <f t="shared" si="0"/>
        <v>0</v>
      </c>
      <c r="Q34" s="8"/>
      <c r="R34" s="8"/>
    </row>
    <row r="35" spans="2:18" s="371" customFormat="1" ht="14.95" customHeight="1" x14ac:dyDescent="0.2">
      <c r="B35" s="2317"/>
      <c r="C35" s="2317"/>
      <c r="D35" s="2319"/>
      <c r="E35" s="2317"/>
      <c r="F35" s="2319"/>
      <c r="G35" s="2316" t="s">
        <v>958</v>
      </c>
      <c r="H35" s="2277" t="s">
        <v>725</v>
      </c>
      <c r="I35" s="2277" t="s">
        <v>730</v>
      </c>
      <c r="J35" s="1312"/>
      <c r="K35">
        <v>15</v>
      </c>
      <c r="L35"/>
      <c r="M35" s="2269"/>
      <c r="N35" s="2271"/>
      <c r="O35" s="8">
        <v>0</v>
      </c>
      <c r="P35" s="8">
        <f t="shared" si="0"/>
        <v>0</v>
      </c>
      <c r="Q35" s="8"/>
      <c r="R35" s="8"/>
    </row>
    <row r="36" spans="2:18" s="371" customFormat="1" ht="14.95" hidden="1" customHeight="1" x14ac:dyDescent="0.2">
      <c r="B36" s="2317"/>
      <c r="C36" s="2317"/>
      <c r="D36" s="2319"/>
      <c r="E36" s="2317"/>
      <c r="F36" s="2320" t="s">
        <v>509</v>
      </c>
      <c r="G36" s="2316" t="s">
        <v>956</v>
      </c>
      <c r="H36" s="2277" t="s">
        <v>726</v>
      </c>
      <c r="I36" s="2277" t="s">
        <v>731</v>
      </c>
      <c r="J36" s="1312"/>
      <c r="K36" s="405">
        <v>16</v>
      </c>
      <c r="L36"/>
      <c r="M36" s="2269"/>
      <c r="N36" s="2271"/>
      <c r="O36" s="8">
        <v>0</v>
      </c>
      <c r="P36" s="8">
        <f t="shared" si="0"/>
        <v>0</v>
      </c>
      <c r="Q36" s="8"/>
      <c r="R36" s="8"/>
    </row>
    <row r="37" spans="2:18" s="371" customFormat="1" ht="14.95" hidden="1" customHeight="1" x14ac:dyDescent="0.2">
      <c r="B37" s="2317"/>
      <c r="C37" s="2317"/>
      <c r="D37" s="2319"/>
      <c r="E37" s="2319"/>
      <c r="F37" s="2319"/>
      <c r="G37" s="2316" t="s">
        <v>958</v>
      </c>
      <c r="H37" s="2277" t="s">
        <v>749</v>
      </c>
      <c r="I37" s="2277" t="s">
        <v>732</v>
      </c>
      <c r="J37" s="1312"/>
      <c r="K37">
        <v>17</v>
      </c>
      <c r="L37"/>
      <c r="M37" s="2269"/>
      <c r="N37" s="2271"/>
      <c r="O37" s="8"/>
      <c r="P37" s="8">
        <f t="shared" si="0"/>
        <v>0</v>
      </c>
      <c r="Q37" s="8"/>
      <c r="R37" s="8"/>
    </row>
    <row r="38" spans="2:18" s="371" customFormat="1" ht="14.95" customHeight="1" x14ac:dyDescent="0.2">
      <c r="B38" s="2317"/>
      <c r="C38" s="2317"/>
      <c r="D38" s="2319"/>
      <c r="E38" s="2319"/>
      <c r="F38" s="2319"/>
      <c r="G38" s="2316"/>
      <c r="H38" s="2319"/>
      <c r="I38" s="2319"/>
      <c r="J38" s="1312"/>
      <c r="K38" s="405">
        <v>18</v>
      </c>
      <c r="L38"/>
      <c r="M38" s="2269"/>
      <c r="N38" s="2271"/>
      <c r="O38" s="8">
        <v>0</v>
      </c>
      <c r="P38" s="8">
        <f t="shared" si="0"/>
        <v>0</v>
      </c>
      <c r="Q38" s="8"/>
      <c r="R38" s="8"/>
    </row>
    <row r="39" spans="2:18" s="371" customFormat="1" ht="14.95" customHeight="1" x14ac:dyDescent="0.25">
      <c r="B39" s="2317"/>
      <c r="C39" s="2317"/>
      <c r="D39" s="2319"/>
      <c r="E39" s="2319"/>
      <c r="F39" s="2319"/>
      <c r="G39" s="2319"/>
      <c r="H39" s="2327"/>
      <c r="I39" s="2327"/>
      <c r="J39" s="1312"/>
      <c r="K39">
        <v>19</v>
      </c>
      <c r="L39"/>
      <c r="M39" s="2269"/>
      <c r="N39" s="2271"/>
      <c r="O39" s="8">
        <v>0</v>
      </c>
      <c r="P39" s="8">
        <f t="shared" si="0"/>
        <v>0</v>
      </c>
      <c r="Q39" s="8"/>
      <c r="R39" s="8"/>
    </row>
    <row r="40" spans="2:18" s="371" customFormat="1" ht="14.95" customHeight="1" x14ac:dyDescent="0.2">
      <c r="B40" s="2317"/>
      <c r="C40" s="2317"/>
      <c r="D40" s="2319"/>
      <c r="E40" s="2317" t="s">
        <v>252</v>
      </c>
      <c r="F40" s="2320" t="s">
        <v>509</v>
      </c>
      <c r="G40" s="2316" t="s">
        <v>959</v>
      </c>
      <c r="H40" s="2277" t="s">
        <v>733</v>
      </c>
      <c r="I40" s="2277" t="s">
        <v>741</v>
      </c>
      <c r="J40" s="1312"/>
      <c r="K40" s="405">
        <v>20</v>
      </c>
      <c r="L40"/>
      <c r="M40" s="2269"/>
      <c r="N40" s="2271"/>
      <c r="O40" s="8">
        <v>0</v>
      </c>
      <c r="P40" s="8">
        <f t="shared" si="0"/>
        <v>0</v>
      </c>
      <c r="Q40" s="8"/>
      <c r="R40" s="8"/>
    </row>
    <row r="41" spans="2:18" s="371" customFormat="1" ht="14.95" customHeight="1" x14ac:dyDescent="0.2">
      <c r="B41" s="2317"/>
      <c r="C41" s="2317"/>
      <c r="D41" s="2319"/>
      <c r="E41" s="2317"/>
      <c r="F41" s="2319"/>
      <c r="G41" s="2316" t="s">
        <v>251</v>
      </c>
      <c r="H41" s="2277" t="s">
        <v>734</v>
      </c>
      <c r="I41" s="2277" t="s">
        <v>742</v>
      </c>
      <c r="J41" s="1312"/>
      <c r="K41">
        <v>21</v>
      </c>
      <c r="L41"/>
      <c r="M41" s="2269"/>
      <c r="N41" s="2271"/>
      <c r="O41" s="8">
        <v>0</v>
      </c>
      <c r="P41" s="8">
        <f t="shared" si="0"/>
        <v>0</v>
      </c>
      <c r="Q41" s="8"/>
      <c r="R41" s="8"/>
    </row>
    <row r="42" spans="2:18" s="371" customFormat="1" ht="14.95" customHeight="1" x14ac:dyDescent="0.2">
      <c r="B42" s="2317"/>
      <c r="C42" s="2317"/>
      <c r="D42" s="2319"/>
      <c r="E42" s="2317"/>
      <c r="F42" s="2320" t="s">
        <v>1123</v>
      </c>
      <c r="G42" s="2316" t="s">
        <v>957</v>
      </c>
      <c r="H42" s="2277" t="s">
        <v>1121</v>
      </c>
      <c r="I42" s="2277" t="s">
        <v>1122</v>
      </c>
      <c r="J42" s="1312"/>
      <c r="K42"/>
      <c r="L42"/>
      <c r="M42" s="2269"/>
      <c r="N42" s="2271"/>
      <c r="O42" s="8"/>
      <c r="P42" s="8"/>
      <c r="Q42" s="8"/>
      <c r="R42" s="8"/>
    </row>
    <row r="43" spans="2:18" s="371" customFormat="1" ht="14.95" customHeight="1" x14ac:dyDescent="0.25">
      <c r="B43" s="2317"/>
      <c r="C43" s="2317"/>
      <c r="D43" s="2319"/>
      <c r="E43" s="2319"/>
      <c r="F43" s="2319"/>
      <c r="G43" s="2318"/>
      <c r="H43" s="2328"/>
      <c r="I43" s="2328"/>
      <c r="J43" s="1312"/>
      <c r="K43" s="405">
        <v>22</v>
      </c>
      <c r="L43"/>
      <c r="M43" s="2269"/>
      <c r="N43" s="2271"/>
      <c r="O43" s="8"/>
      <c r="P43" s="8">
        <f t="shared" si="0"/>
        <v>0</v>
      </c>
      <c r="Q43" s="8"/>
      <c r="R43" s="8"/>
    </row>
    <row r="44" spans="2:18" s="371" customFormat="1" ht="14.95" customHeight="1" x14ac:dyDescent="0.2">
      <c r="B44" s="2317"/>
      <c r="C44" s="2319"/>
      <c r="D44" s="2319"/>
      <c r="E44" s="2317" t="s">
        <v>253</v>
      </c>
      <c r="F44" s="2319"/>
      <c r="G44" s="2316" t="s">
        <v>88</v>
      </c>
      <c r="H44" s="2277" t="s">
        <v>735</v>
      </c>
      <c r="I44" s="2277" t="s">
        <v>743</v>
      </c>
      <c r="J44" s="1312"/>
      <c r="K44">
        <v>23</v>
      </c>
      <c r="L44"/>
      <c r="M44" s="2269"/>
      <c r="N44" s="2271"/>
      <c r="O44" s="8">
        <v>0</v>
      </c>
      <c r="P44" s="8">
        <f t="shared" si="0"/>
        <v>0</v>
      </c>
      <c r="Q44" s="8"/>
      <c r="R44" s="8"/>
    </row>
    <row r="45" spans="2:18" s="371" customFormat="1" ht="14.95" customHeight="1" x14ac:dyDescent="0.2">
      <c r="B45" s="2317"/>
      <c r="C45" s="2319"/>
      <c r="D45" s="2319"/>
      <c r="E45" s="2317"/>
      <c r="F45" s="2319"/>
      <c r="G45" s="2316" t="s">
        <v>1280</v>
      </c>
      <c r="H45" s="2277" t="s">
        <v>1124</v>
      </c>
      <c r="I45" s="2277" t="s">
        <v>1125</v>
      </c>
      <c r="J45" s="1312"/>
      <c r="K45"/>
      <c r="L45"/>
      <c r="M45" s="2269"/>
      <c r="N45" s="2271"/>
      <c r="O45" s="8"/>
      <c r="P45" s="8"/>
      <c r="Q45" s="8"/>
      <c r="R45" s="8"/>
    </row>
    <row r="46" spans="2:18" s="371" customFormat="1" ht="14.95" customHeight="1" x14ac:dyDescent="0.2">
      <c r="B46" s="2317"/>
      <c r="C46" s="2317"/>
      <c r="D46" s="2319"/>
      <c r="E46" s="2319"/>
      <c r="F46" s="2319"/>
      <c r="G46" s="2316" t="s">
        <v>851</v>
      </c>
      <c r="H46" s="2277" t="s">
        <v>736</v>
      </c>
      <c r="I46" s="2277" t="s">
        <v>744</v>
      </c>
      <c r="J46" s="1312"/>
      <c r="K46" s="405">
        <v>24</v>
      </c>
      <c r="L46"/>
      <c r="M46" s="2269"/>
      <c r="N46" s="2271"/>
      <c r="O46" s="8">
        <v>0</v>
      </c>
      <c r="P46" s="8">
        <f t="shared" si="0"/>
        <v>0</v>
      </c>
      <c r="Q46" s="8"/>
      <c r="R46" s="8"/>
    </row>
    <row r="47" spans="2:18" s="371" customFormat="1" ht="14.95" customHeight="1" x14ac:dyDescent="0.25">
      <c r="B47" s="2317"/>
      <c r="C47" s="2317"/>
      <c r="D47" s="2319"/>
      <c r="E47" s="2318"/>
      <c r="F47" s="2318"/>
      <c r="G47" s="2318"/>
      <c r="H47" s="2327"/>
      <c r="I47" s="2327"/>
      <c r="J47" s="1312"/>
      <c r="K47">
        <v>27</v>
      </c>
      <c r="L47"/>
      <c r="M47" s="2269"/>
      <c r="N47" s="2271"/>
      <c r="O47" s="8">
        <v>0</v>
      </c>
      <c r="P47" s="8">
        <f t="shared" si="0"/>
        <v>0</v>
      </c>
      <c r="Q47" s="8"/>
      <c r="R47" s="8"/>
    </row>
    <row r="48" spans="2:18" s="371" customFormat="1" ht="14.95" customHeight="1" x14ac:dyDescent="0.2">
      <c r="B48" s="2242"/>
      <c r="C48" s="2242"/>
      <c r="D48" s="2242" t="s">
        <v>500</v>
      </c>
      <c r="E48" s="2242" t="s">
        <v>501</v>
      </c>
      <c r="F48" s="2242"/>
      <c r="G48" s="2242" t="s">
        <v>248</v>
      </c>
      <c r="H48" s="2242"/>
      <c r="I48" s="2242"/>
      <c r="J48" s="1312"/>
      <c r="K48" s="405">
        <v>28</v>
      </c>
      <c r="L48"/>
      <c r="M48" s="2269"/>
      <c r="N48" s="2271"/>
      <c r="O48" s="8">
        <v>0</v>
      </c>
      <c r="P48" s="8">
        <f t="shared" si="0"/>
        <v>0</v>
      </c>
      <c r="Q48" s="8"/>
      <c r="R48" s="8"/>
    </row>
    <row r="49" spans="2:18" s="371" customFormat="1" ht="14.95" customHeight="1" x14ac:dyDescent="0.2">
      <c r="B49" s="2317"/>
      <c r="C49" s="2317"/>
      <c r="D49" s="2319"/>
      <c r="E49" s="2317" t="s">
        <v>696</v>
      </c>
      <c r="F49" s="2318"/>
      <c r="G49" s="2316" t="s">
        <v>249</v>
      </c>
      <c r="H49" s="2277" t="s">
        <v>738</v>
      </c>
      <c r="I49" s="2277" t="s">
        <v>745</v>
      </c>
      <c r="J49" s="1312"/>
      <c r="K49">
        <v>29</v>
      </c>
      <c r="L49"/>
      <c r="M49" s="2269"/>
      <c r="N49" s="2271"/>
      <c r="O49" s="8">
        <v>0</v>
      </c>
      <c r="P49" s="8">
        <f t="shared" si="0"/>
        <v>0</v>
      </c>
      <c r="Q49" s="8"/>
      <c r="R49" s="8"/>
    </row>
    <row r="50" spans="2:18" s="371" customFormat="1" ht="14.95" customHeight="1" x14ac:dyDescent="0.2">
      <c r="B50" s="2317"/>
      <c r="C50" s="2317"/>
      <c r="D50" s="2319"/>
      <c r="E50" s="2317" t="s">
        <v>697</v>
      </c>
      <c r="F50" s="2318"/>
      <c r="G50" s="2316" t="s">
        <v>235</v>
      </c>
      <c r="H50" s="2277" t="s">
        <v>737</v>
      </c>
      <c r="I50" s="2277" t="s">
        <v>746</v>
      </c>
      <c r="J50" s="2272"/>
      <c r="K50" s="2273">
        <v>30</v>
      </c>
      <c r="L50" s="2273"/>
      <c r="M50" s="2274"/>
      <c r="N50" s="2275"/>
      <c r="O50" s="2276"/>
      <c r="P50" s="2276">
        <f t="shared" si="0"/>
        <v>0</v>
      </c>
      <c r="Q50" s="2276"/>
      <c r="R50" s="2276"/>
    </row>
    <row r="51" spans="2:18" s="243" customFormat="1" ht="14.95" customHeight="1" x14ac:dyDescent="0.2">
      <c r="B51" s="2317"/>
      <c r="C51" s="2321"/>
      <c r="D51" s="2319"/>
      <c r="E51" s="2317" t="s">
        <v>698</v>
      </c>
      <c r="F51" s="2315"/>
      <c r="G51" s="2316" t="s">
        <v>40</v>
      </c>
      <c r="H51" s="2277" t="s">
        <v>1226</v>
      </c>
      <c r="I51" s="2277" t="s">
        <v>1223</v>
      </c>
      <c r="J51" s="2272"/>
      <c r="K51" s="2273">
        <v>31</v>
      </c>
      <c r="L51" s="2273"/>
      <c r="M51" s="2274"/>
      <c r="N51" s="2275"/>
      <c r="O51" s="2276">
        <v>0</v>
      </c>
      <c r="P51" s="2276">
        <f t="shared" si="0"/>
        <v>0</v>
      </c>
      <c r="Q51" s="2276"/>
      <c r="R51" s="2276"/>
    </row>
    <row r="52" spans="2:18" s="243" customFormat="1" ht="14.95" customHeight="1" x14ac:dyDescent="0.2">
      <c r="B52" s="2317"/>
      <c r="C52" s="2321"/>
      <c r="D52" s="2319"/>
      <c r="E52" s="2317"/>
      <c r="F52" s="2315"/>
      <c r="G52" s="2316"/>
      <c r="H52" s="2316"/>
      <c r="I52" s="2316"/>
      <c r="J52" s="2272"/>
      <c r="K52" s="2273"/>
      <c r="L52" s="2273"/>
      <c r="M52" s="2274"/>
      <c r="N52" s="2275"/>
      <c r="O52" s="2276"/>
      <c r="P52" s="2276"/>
      <c r="Q52" s="2276"/>
      <c r="R52" s="2276"/>
    </row>
    <row r="53" spans="2:18" s="1034" customFormat="1" ht="14.95" customHeight="1" x14ac:dyDescent="0.2">
      <c r="B53" s="2317"/>
      <c r="C53" s="2322"/>
      <c r="D53" s="2319"/>
      <c r="E53" s="2320" t="s">
        <v>1202</v>
      </c>
      <c r="F53" s="2323"/>
      <c r="G53" s="2316" t="s">
        <v>249</v>
      </c>
      <c r="H53" s="2277" t="s">
        <v>739</v>
      </c>
      <c r="I53" s="2277" t="s">
        <v>747</v>
      </c>
      <c r="J53" s="1312"/>
      <c r="K53" s="405">
        <v>32</v>
      </c>
      <c r="L53"/>
      <c r="M53" s="2269"/>
      <c r="N53" s="2271"/>
      <c r="O53" s="8"/>
      <c r="P53" s="8">
        <f t="shared" si="0"/>
        <v>0</v>
      </c>
      <c r="Q53" s="8"/>
      <c r="R53" s="8"/>
    </row>
    <row r="54" spans="2:18" s="371" customFormat="1" ht="14.95" customHeight="1" x14ac:dyDescent="0.2">
      <c r="B54" s="2317"/>
      <c r="C54" s="2317"/>
      <c r="D54" s="2319"/>
      <c r="E54" s="2320" t="s">
        <v>1202</v>
      </c>
      <c r="F54" s="2318"/>
      <c r="G54" s="2316" t="s">
        <v>1203</v>
      </c>
      <c r="H54" s="2277" t="s">
        <v>1224</v>
      </c>
      <c r="I54" s="2277" t="s">
        <v>1225</v>
      </c>
      <c r="J54" s="1312"/>
      <c r="K54" s="405">
        <v>34</v>
      </c>
      <c r="L54"/>
      <c r="M54" s="2269"/>
      <c r="N54" s="2271"/>
      <c r="O54" s="8">
        <v>0</v>
      </c>
      <c r="P54" s="8">
        <f t="shared" si="0"/>
        <v>0</v>
      </c>
      <c r="Q54" s="8"/>
      <c r="R54" s="8"/>
    </row>
    <row r="55" spans="2:18" s="371" customFormat="1" ht="14.95" customHeight="1" x14ac:dyDescent="0.25">
      <c r="B55" s="2317"/>
      <c r="C55" s="2319"/>
      <c r="D55" s="2319"/>
      <c r="E55" s="2318"/>
      <c r="F55" s="2318"/>
      <c r="G55" s="2324"/>
      <c r="H55" s="2327"/>
      <c r="I55" s="2327"/>
      <c r="J55"/>
      <c r="K55"/>
      <c r="L55"/>
      <c r="M55"/>
      <c r="N55"/>
      <c r="O55"/>
      <c r="P55"/>
      <c r="Q55"/>
      <c r="R55"/>
    </row>
    <row r="56" spans="2:18" s="371" customFormat="1" ht="14.95" customHeight="1" x14ac:dyDescent="0.2">
      <c r="B56" s="2317"/>
      <c r="C56" s="2319"/>
      <c r="D56" s="2319"/>
      <c r="E56" s="2320" t="s">
        <v>236</v>
      </c>
      <c r="F56" s="2316"/>
      <c r="G56" s="2319" t="s">
        <v>235</v>
      </c>
      <c r="H56" s="2277" t="s">
        <v>740</v>
      </c>
      <c r="I56" s="2277" t="s">
        <v>748</v>
      </c>
      <c r="J56" s="1312"/>
      <c r="K56"/>
      <c r="L56"/>
      <c r="M56" s="2269"/>
      <c r="N56" s="2271"/>
      <c r="O56" s="8"/>
      <c r="P56" s="8"/>
      <c r="Q56" s="8"/>
      <c r="R56" s="8"/>
    </row>
    <row r="57" spans="2:18" s="371" customFormat="1" ht="14.95" customHeight="1" x14ac:dyDescent="0.2">
      <c r="B57" s="2317"/>
      <c r="C57" s="2319"/>
      <c r="D57" s="2319"/>
      <c r="E57" s="2320" t="s">
        <v>1160</v>
      </c>
      <c r="F57" s="2316"/>
      <c r="G57" s="2319" t="s">
        <v>494</v>
      </c>
      <c r="H57" s="2277" t="s">
        <v>1161</v>
      </c>
      <c r="I57" s="2277" t="s">
        <v>1162</v>
      </c>
      <c r="J57" s="1312"/>
      <c r="K57"/>
      <c r="L57"/>
      <c r="M57" s="2269"/>
      <c r="N57" s="2271"/>
      <c r="O57" s="8"/>
      <c r="P57" s="8"/>
      <c r="Q57" s="8"/>
      <c r="R57" s="8"/>
    </row>
    <row r="58" spans="2:18" s="371" customFormat="1" ht="14.95" customHeight="1" x14ac:dyDescent="0.2">
      <c r="B58" s="2317"/>
      <c r="C58" s="2319"/>
      <c r="D58" s="2319"/>
      <c r="E58" s="2320" t="s">
        <v>1149</v>
      </c>
      <c r="F58" s="2316"/>
      <c r="G58" s="2319" t="s">
        <v>235</v>
      </c>
      <c r="H58" s="2277" t="s">
        <v>1147</v>
      </c>
      <c r="I58" s="2277" t="s">
        <v>1148</v>
      </c>
      <c r="J58" s="1312"/>
      <c r="K58"/>
      <c r="L58"/>
      <c r="M58" s="2269"/>
      <c r="N58" s="2271"/>
      <c r="O58" s="8"/>
      <c r="P58" s="8"/>
      <c r="Q58" s="8"/>
      <c r="R58" s="8"/>
    </row>
    <row r="59" spans="2:18" s="371" customFormat="1" ht="14.95" customHeight="1" x14ac:dyDescent="0.2">
      <c r="B59" s="2317"/>
      <c r="C59" s="2319"/>
      <c r="D59" s="2319"/>
      <c r="E59" s="2320" t="s">
        <v>1165</v>
      </c>
      <c r="F59" s="2316"/>
      <c r="G59" s="2319"/>
      <c r="H59" s="2277" t="s">
        <v>803</v>
      </c>
      <c r="I59" s="2277" t="s">
        <v>804</v>
      </c>
      <c r="J59" s="1312"/>
      <c r="K59"/>
      <c r="L59"/>
      <c r="M59" s="2269"/>
      <c r="N59" s="2271"/>
      <c r="O59" s="8"/>
      <c r="P59" s="8"/>
      <c r="Q59" s="8"/>
      <c r="R59" s="8"/>
    </row>
    <row r="60" spans="2:18" s="371" customFormat="1" ht="14.95" customHeight="1" x14ac:dyDescent="0.2">
      <c r="B60" s="2317"/>
      <c r="C60" s="2319"/>
      <c r="D60" s="2319"/>
      <c r="E60" s="2318"/>
      <c r="F60" s="2318"/>
      <c r="G60" s="2318"/>
      <c r="H60" s="2324"/>
      <c r="I60" s="2324"/>
      <c r="J60" s="1312"/>
      <c r="K60"/>
      <c r="L60"/>
      <c r="M60" s="2269"/>
      <c r="N60" s="2271"/>
      <c r="O60" s="8"/>
      <c r="P60" s="8"/>
      <c r="Q60" s="8"/>
      <c r="R60" s="8"/>
    </row>
    <row r="61" spans="2:18" s="371" customFormat="1" ht="14.95" customHeight="1" x14ac:dyDescent="0.25">
      <c r="B61" s="2317"/>
      <c r="C61" s="2319"/>
      <c r="D61" s="2325" t="s">
        <v>86</v>
      </c>
      <c r="E61" s="2313"/>
      <c r="F61" s="2313"/>
      <c r="G61" s="2313"/>
      <c r="H61" s="2324"/>
      <c r="I61" s="2324"/>
      <c r="J61" s="1312"/>
      <c r="K61"/>
      <c r="L61"/>
      <c r="M61" s="2269"/>
      <c r="N61" s="2271"/>
      <c r="O61" s="8"/>
      <c r="P61" s="8"/>
      <c r="Q61" s="8"/>
      <c r="R61" s="8"/>
    </row>
    <row r="62" spans="2:18" s="371" customFormat="1" ht="14.95" customHeight="1" x14ac:dyDescent="0.2">
      <c r="B62" s="1049"/>
      <c r="C62" s="1049"/>
      <c r="D62" s="1049"/>
      <c r="E62" s="1047"/>
      <c r="F62" s="1049"/>
      <c r="G62" s="1049"/>
      <c r="J62" s="1312"/>
      <c r="K62"/>
      <c r="L62"/>
      <c r="M62" s="2269"/>
      <c r="N62" s="2271"/>
      <c r="O62" s="8"/>
      <c r="P62" s="8"/>
      <c r="Q62" s="8"/>
      <c r="R62" s="8"/>
    </row>
    <row r="63" spans="2:18" s="371" customFormat="1" ht="14.95" customHeight="1" x14ac:dyDescent="0.2">
      <c r="B63" s="1049"/>
      <c r="C63" s="1049"/>
      <c r="D63"/>
      <c r="E63"/>
      <c r="F63"/>
      <c r="G63"/>
      <c r="J63" s="1312"/>
      <c r="K63"/>
      <c r="L63"/>
      <c r="M63" s="2269"/>
      <c r="N63" s="2271"/>
      <c r="O63" s="8"/>
      <c r="P63" s="8"/>
      <c r="Q63" s="8"/>
      <c r="R63" s="8"/>
    </row>
    <row r="64" spans="2:18" s="371" customFormat="1" ht="14.95" customHeight="1" x14ac:dyDescent="0.2">
      <c r="B64" s="1049"/>
      <c r="C64" s="1049"/>
      <c r="J64" s="1312"/>
      <c r="K64"/>
      <c r="L64"/>
      <c r="M64" s="2269"/>
      <c r="N64" s="2271"/>
      <c r="O64" s="8"/>
      <c r="P64" s="8"/>
      <c r="Q64" s="8"/>
      <c r="R64" s="8"/>
    </row>
    <row r="65" spans="2:18" s="371" customFormat="1" ht="14.95" customHeight="1" x14ac:dyDescent="0.2">
      <c r="B65" s="1049"/>
      <c r="C65" s="1049"/>
      <c r="D65"/>
      <c r="E65"/>
      <c r="F65"/>
      <c r="G65"/>
      <c r="J65" s="1312"/>
      <c r="K65"/>
      <c r="L65"/>
      <c r="M65" s="2269"/>
      <c r="N65" s="2271"/>
      <c r="O65" s="8"/>
      <c r="P65" s="8"/>
      <c r="Q65" s="8"/>
      <c r="R65" s="8"/>
    </row>
    <row r="66" spans="2:18" s="371" customFormat="1" ht="14.45" customHeight="1" x14ac:dyDescent="0.2">
      <c r="B66" s="1049"/>
      <c r="C66" s="1049"/>
      <c r="I66" s="2270"/>
      <c r="J66" s="1312"/>
      <c r="K66"/>
      <c r="L66"/>
      <c r="M66" s="2269"/>
      <c r="N66" s="8"/>
      <c r="O66" s="8"/>
      <c r="P66" s="8"/>
      <c r="Q66" s="8"/>
      <c r="R66" s="8"/>
    </row>
    <row r="67" spans="2:18" s="2019" customFormat="1" ht="29.25" customHeight="1" x14ac:dyDescent="0.2">
      <c r="H67"/>
      <c r="I67"/>
      <c r="J67" s="1312"/>
      <c r="K67"/>
      <c r="L67"/>
      <c r="M67" s="2269"/>
      <c r="N67" s="8"/>
      <c r="O67" s="8"/>
      <c r="P67" s="8"/>
      <c r="Q67" s="8"/>
      <c r="R67" s="8"/>
    </row>
    <row r="68" spans="2:18" s="2021" customFormat="1" ht="25.5" customHeight="1" x14ac:dyDescent="0.25">
      <c r="B68" s="2020"/>
      <c r="C68" s="2020"/>
      <c r="H68"/>
      <c r="I68"/>
      <c r="J68" s="1312"/>
      <c r="K68"/>
      <c r="L68"/>
      <c r="M68" s="2269"/>
      <c r="N68" s="8"/>
      <c r="O68" s="8"/>
      <c r="P68" s="8"/>
      <c r="Q68" s="8"/>
      <c r="R68" s="8"/>
    </row>
    <row r="69" spans="2:18" s="371" customFormat="1" ht="18" customHeight="1" x14ac:dyDescent="0.2">
      <c r="B69" s="1049"/>
      <c r="C69" s="1049"/>
      <c r="I69" s="2270"/>
      <c r="J69" s="1312"/>
      <c r="K69"/>
      <c r="L69"/>
      <c r="M69" s="2269"/>
      <c r="N69" s="8"/>
      <c r="O69" s="8"/>
      <c r="P69" s="8"/>
      <c r="Q69" s="8"/>
      <c r="R69" s="8"/>
    </row>
    <row r="70" spans="2:18" ht="13.6" x14ac:dyDescent="0.2">
      <c r="D70"/>
      <c r="E70"/>
      <c r="F70"/>
      <c r="G70"/>
      <c r="H70"/>
      <c r="I70" s="2270"/>
      <c r="J70" s="1170"/>
      <c r="K70"/>
      <c r="L70"/>
      <c r="M70" s="2269"/>
      <c r="N70" s="8"/>
      <c r="O70" s="8"/>
      <c r="P70" s="8"/>
      <c r="Q70" s="8"/>
      <c r="R70" s="8"/>
    </row>
    <row r="71" spans="2:18" ht="12.9" x14ac:dyDescent="0.2">
      <c r="D71"/>
      <c r="E71"/>
      <c r="F71"/>
      <c r="G71"/>
      <c r="H71"/>
      <c r="I71" s="246"/>
      <c r="J71" s="1312"/>
      <c r="K71"/>
      <c r="L71"/>
      <c r="M71" s="2269"/>
      <c r="N71" s="8"/>
      <c r="O71" s="8"/>
      <c r="P71" s="8"/>
      <c r="Q71" s="8"/>
      <c r="R71" s="8"/>
    </row>
    <row r="72" spans="2:18" ht="12.9" x14ac:dyDescent="0.2">
      <c r="D72"/>
      <c r="E72"/>
      <c r="F72"/>
      <c r="G72"/>
      <c r="H72"/>
      <c r="I72" s="246"/>
      <c r="J72" s="1312"/>
      <c r="K72"/>
      <c r="L72"/>
      <c r="M72" s="2269"/>
      <c r="N72" s="8"/>
      <c r="O72" s="8"/>
      <c r="P72" s="8"/>
      <c r="Q72" s="8"/>
      <c r="R72" s="8"/>
    </row>
    <row r="73" spans="2:18" ht="12.9" x14ac:dyDescent="0.2">
      <c r="D73"/>
      <c r="E73"/>
      <c r="F73"/>
      <c r="G73"/>
      <c r="H73"/>
      <c r="I73" s="246"/>
      <c r="J73" s="1312"/>
      <c r="K73"/>
      <c r="L73"/>
      <c r="M73" s="2269"/>
      <c r="N73" s="8"/>
      <c r="O73" s="8"/>
      <c r="P73" s="8"/>
      <c r="Q73" s="8"/>
      <c r="R73" s="8"/>
    </row>
    <row r="74" spans="2:18" ht="12.9" x14ac:dyDescent="0.2">
      <c r="D74"/>
      <c r="E74"/>
      <c r="F74"/>
      <c r="G74"/>
      <c r="H74"/>
      <c r="I74" s="246"/>
      <c r="J74" s="1312"/>
      <c r="K74"/>
      <c r="L74"/>
      <c r="M74" s="2269"/>
      <c r="N74" s="8"/>
      <c r="O74" s="8"/>
      <c r="P74" s="8"/>
      <c r="Q74" s="8"/>
      <c r="R74" s="8"/>
    </row>
    <row r="75" spans="2:18" ht="12.9" x14ac:dyDescent="0.2">
      <c r="D75"/>
      <c r="E75"/>
      <c r="F75"/>
      <c r="G75"/>
      <c r="H75"/>
      <c r="I75" s="246"/>
      <c r="J75" s="1312"/>
      <c r="K75"/>
      <c r="L75"/>
      <c r="M75" s="2269"/>
      <c r="N75" s="8"/>
      <c r="O75" s="8"/>
      <c r="P75" s="8"/>
      <c r="Q75" s="8"/>
      <c r="R75" s="8"/>
    </row>
    <row r="76" spans="2:18" ht="12.9" x14ac:dyDescent="0.2">
      <c r="D76"/>
      <c r="E76"/>
      <c r="F76"/>
      <c r="G76"/>
      <c r="H76"/>
      <c r="I76"/>
      <c r="J76"/>
      <c r="K76"/>
      <c r="L76"/>
      <c r="M76"/>
      <c r="N76"/>
      <c r="O76"/>
      <c r="P76"/>
      <c r="Q76"/>
      <c r="R76"/>
    </row>
    <row r="77" spans="2:18" ht="12.9" x14ac:dyDescent="0.2">
      <c r="D77"/>
      <c r="E77"/>
      <c r="F77"/>
      <c r="G77"/>
      <c r="H77"/>
      <c r="I77"/>
      <c r="J77"/>
      <c r="K77"/>
      <c r="L77"/>
      <c r="M77"/>
      <c r="N77"/>
      <c r="O77"/>
      <c r="P77"/>
      <c r="Q77"/>
      <c r="R77"/>
    </row>
    <row r="78" spans="2:18" ht="12.9" x14ac:dyDescent="0.2">
      <c r="D78"/>
      <c r="E78"/>
      <c r="F78"/>
      <c r="G78"/>
      <c r="H78"/>
      <c r="I78"/>
      <c r="J78"/>
      <c r="K78"/>
      <c r="L78"/>
    </row>
    <row r="79" spans="2:18" ht="12.9" x14ac:dyDescent="0.2">
      <c r="D79"/>
      <c r="E79"/>
      <c r="F79"/>
      <c r="G79"/>
      <c r="H79"/>
      <c r="I79"/>
      <c r="J79"/>
      <c r="K79"/>
      <c r="L79"/>
    </row>
    <row r="80" spans="2:18" ht="12.9" x14ac:dyDescent="0.2">
      <c r="D80"/>
      <c r="E80"/>
      <c r="F80"/>
      <c r="G80"/>
      <c r="H80"/>
      <c r="I80"/>
      <c r="J80"/>
      <c r="K80"/>
      <c r="L80"/>
    </row>
    <row r="81" spans="4:12" ht="12.9" x14ac:dyDescent="0.2">
      <c r="D81"/>
      <c r="E81"/>
      <c r="F81"/>
      <c r="G81"/>
      <c r="H81"/>
      <c r="I81"/>
      <c r="J81"/>
      <c r="K81"/>
      <c r="L81"/>
    </row>
    <row r="82" spans="4:12" ht="12.9" x14ac:dyDescent="0.2">
      <c r="D82"/>
      <c r="E82"/>
      <c r="F82"/>
      <c r="G82"/>
      <c r="H82"/>
      <c r="I82"/>
      <c r="J82"/>
      <c r="K82"/>
      <c r="L82"/>
    </row>
    <row r="83" spans="4:12" ht="12.9" x14ac:dyDescent="0.2">
      <c r="D83"/>
      <c r="E83"/>
      <c r="F83"/>
      <c r="G83"/>
      <c r="H83"/>
      <c r="I83"/>
      <c r="J83"/>
      <c r="K83"/>
      <c r="L83"/>
    </row>
    <row r="84" spans="4:12" ht="12.9" hidden="1" x14ac:dyDescent="0.2">
      <c r="D84"/>
      <c r="E84"/>
      <c r="F84"/>
      <c r="G84"/>
      <c r="H84"/>
      <c r="I84"/>
      <c r="J84"/>
      <c r="K84"/>
      <c r="L84"/>
    </row>
    <row r="85" spans="4:12" ht="12.9" hidden="1" x14ac:dyDescent="0.2">
      <c r="D85"/>
      <c r="E85"/>
      <c r="F85"/>
      <c r="G85"/>
      <c r="H85"/>
      <c r="I85"/>
      <c r="J85"/>
      <c r="K85"/>
      <c r="L85"/>
    </row>
    <row r="86" spans="4:12" ht="12.9" hidden="1" x14ac:dyDescent="0.2">
      <c r="D86"/>
      <c r="E86"/>
      <c r="F86"/>
      <c r="G86"/>
      <c r="H86"/>
      <c r="I86"/>
      <c r="J86"/>
      <c r="K86"/>
      <c r="L86"/>
    </row>
    <row r="87" spans="4:12" ht="12.9" x14ac:dyDescent="0.2">
      <c r="D87"/>
      <c r="E87"/>
      <c r="F87"/>
      <c r="G87"/>
      <c r="H87"/>
      <c r="I87"/>
      <c r="J87"/>
      <c r="K87"/>
      <c r="L87"/>
    </row>
    <row r="88" spans="4:12" ht="12.9" x14ac:dyDescent="0.2">
      <c r="D88"/>
      <c r="E88"/>
      <c r="F88"/>
      <c r="G88"/>
      <c r="H88"/>
      <c r="I88"/>
      <c r="J88"/>
      <c r="K88"/>
      <c r="L88"/>
    </row>
    <row r="89" spans="4:12" ht="12.9" x14ac:dyDescent="0.2">
      <c r="D89"/>
      <c r="E89"/>
      <c r="F89"/>
      <c r="G89"/>
      <c r="H89"/>
      <c r="I89"/>
      <c r="J89"/>
      <c r="K89"/>
      <c r="L89"/>
    </row>
    <row r="90" spans="4:12" ht="12.9" x14ac:dyDescent="0.2">
      <c r="D90"/>
      <c r="E90"/>
      <c r="F90"/>
      <c r="G90"/>
      <c r="H90"/>
      <c r="I90"/>
      <c r="J90"/>
      <c r="K90"/>
      <c r="L90"/>
    </row>
    <row r="91" spans="4:12" ht="12.9" x14ac:dyDescent="0.2">
      <c r="D91"/>
      <c r="E91"/>
      <c r="F91"/>
      <c r="G91"/>
      <c r="H91"/>
      <c r="I91"/>
      <c r="J91"/>
      <c r="K91"/>
      <c r="L91"/>
    </row>
    <row r="92" spans="4:12" ht="12.9" x14ac:dyDescent="0.2">
      <c r="D92"/>
      <c r="E92"/>
      <c r="F92"/>
      <c r="G92"/>
      <c r="H92"/>
      <c r="I92"/>
      <c r="J92"/>
      <c r="K92"/>
      <c r="L92"/>
    </row>
    <row r="93" spans="4:12" ht="12.9" x14ac:dyDescent="0.2">
      <c r="D93"/>
      <c r="E93"/>
      <c r="F93"/>
      <c r="G93"/>
      <c r="H93"/>
      <c r="I93"/>
      <c r="J93"/>
      <c r="K93"/>
      <c r="L93"/>
    </row>
    <row r="94" spans="4:12" ht="12.9" x14ac:dyDescent="0.2">
      <c r="D94"/>
      <c r="E94"/>
      <c r="F94"/>
      <c r="G94"/>
      <c r="H94"/>
      <c r="I94"/>
      <c r="J94"/>
      <c r="K94"/>
      <c r="L94"/>
    </row>
    <row r="95" spans="4:12" ht="12.9" x14ac:dyDescent="0.2">
      <c r="D95"/>
      <c r="E95"/>
      <c r="F95"/>
      <c r="G95"/>
      <c r="H95"/>
      <c r="I95"/>
      <c r="J95"/>
      <c r="K95"/>
      <c r="L95"/>
    </row>
    <row r="96" spans="4:12" ht="12.9" x14ac:dyDescent="0.2">
      <c r="D96"/>
      <c r="E96"/>
      <c r="F96"/>
      <c r="G96"/>
      <c r="H96"/>
      <c r="I96"/>
      <c r="J96"/>
      <c r="K96"/>
      <c r="L96"/>
    </row>
    <row r="97" spans="2:12" ht="12.9" x14ac:dyDescent="0.2">
      <c r="D97"/>
      <c r="E97"/>
      <c r="F97"/>
      <c r="G97"/>
      <c r="H97"/>
      <c r="I97"/>
      <c r="J97"/>
      <c r="K97"/>
      <c r="L97"/>
    </row>
    <row r="98" spans="2:12" ht="12.9" x14ac:dyDescent="0.2">
      <c r="D98"/>
      <c r="E98"/>
      <c r="F98"/>
      <c r="G98"/>
      <c r="H98"/>
      <c r="I98"/>
      <c r="J98"/>
      <c r="K98"/>
      <c r="L98"/>
    </row>
    <row r="99" spans="2:12" ht="12.9" x14ac:dyDescent="0.2">
      <c r="D99"/>
      <c r="E99"/>
      <c r="F99"/>
      <c r="G99"/>
      <c r="H99"/>
      <c r="I99"/>
      <c r="J99"/>
      <c r="K99"/>
      <c r="L99"/>
    </row>
    <row r="100" spans="2:12" ht="12.9" x14ac:dyDescent="0.2">
      <c r="D100"/>
      <c r="E100"/>
      <c r="F100"/>
      <c r="G100"/>
      <c r="H100"/>
      <c r="I100"/>
      <c r="J100"/>
      <c r="K100"/>
      <c r="L100"/>
    </row>
    <row r="101" spans="2:12" ht="12.9" x14ac:dyDescent="0.2">
      <c r="D101"/>
      <c r="E101"/>
      <c r="F101"/>
      <c r="G101"/>
      <c r="H101"/>
      <c r="I101"/>
      <c r="J101"/>
      <c r="K101"/>
      <c r="L101"/>
    </row>
    <row r="102" spans="2:12" ht="12.9" x14ac:dyDescent="0.2">
      <c r="D102"/>
      <c r="E102"/>
      <c r="F102"/>
      <c r="G102"/>
      <c r="H102"/>
      <c r="I102"/>
      <c r="J102"/>
      <c r="K102"/>
      <c r="L102"/>
    </row>
    <row r="103" spans="2:12" ht="12.9" x14ac:dyDescent="0.2">
      <c r="D103"/>
      <c r="E103"/>
      <c r="F103"/>
      <c r="G103"/>
      <c r="H103"/>
      <c r="I103"/>
      <c r="J103"/>
      <c r="K103"/>
      <c r="L103"/>
    </row>
    <row r="104" spans="2:12" ht="12.9" x14ac:dyDescent="0.2">
      <c r="D104"/>
      <c r="E104"/>
      <c r="F104"/>
      <c r="G104"/>
      <c r="H104"/>
      <c r="I104"/>
      <c r="J104"/>
      <c r="K104"/>
      <c r="L104"/>
    </row>
    <row r="105" spans="2:12" ht="12.9" x14ac:dyDescent="0.2">
      <c r="D105"/>
      <c r="E105"/>
      <c r="F105"/>
      <c r="G105"/>
      <c r="H105"/>
      <c r="I105"/>
      <c r="J105"/>
      <c r="K105"/>
      <c r="L105"/>
    </row>
    <row r="106" spans="2:12" x14ac:dyDescent="0.3">
      <c r="B106" s="1046"/>
      <c r="C106" s="1046"/>
    </row>
    <row r="107" spans="2:12" x14ac:dyDescent="0.3">
      <c r="B107" s="1046"/>
      <c r="C107" s="1046"/>
      <c r="D107"/>
      <c r="E107"/>
      <c r="F107"/>
      <c r="G107"/>
      <c r="H107"/>
    </row>
    <row r="108" spans="2:12" x14ac:dyDescent="0.3">
      <c r="B108" s="1046"/>
      <c r="C108" s="1046"/>
      <c r="D108"/>
      <c r="E108"/>
      <c r="F108"/>
      <c r="G108"/>
      <c r="H108"/>
    </row>
    <row r="109" spans="2:12" x14ac:dyDescent="0.3">
      <c r="B109" s="1046"/>
      <c r="C109" s="1046"/>
      <c r="D109"/>
      <c r="E109"/>
      <c r="F109"/>
      <c r="G109"/>
      <c r="H109"/>
    </row>
    <row r="110" spans="2:12" x14ac:dyDescent="0.3">
      <c r="B110" s="1046"/>
      <c r="C110" s="1046"/>
      <c r="D110"/>
      <c r="E110"/>
      <c r="F110"/>
      <c r="G110"/>
      <c r="H110"/>
    </row>
    <row r="111" spans="2:12" x14ac:dyDescent="0.3">
      <c r="B111" s="1046"/>
      <c r="C111" s="1046"/>
      <c r="D111"/>
      <c r="E111"/>
      <c r="F111"/>
      <c r="G111"/>
      <c r="H111"/>
    </row>
    <row r="112" spans="2:12" x14ac:dyDescent="0.3">
      <c r="B112" s="1046"/>
      <c r="C112" s="1046"/>
      <c r="D112"/>
      <c r="E112"/>
      <c r="F112"/>
      <c r="G112"/>
      <c r="H112"/>
    </row>
    <row r="113" spans="2:8" x14ac:dyDescent="0.3">
      <c r="B113" s="1046"/>
      <c r="C113" s="1046"/>
      <c r="D113"/>
      <c r="E113"/>
      <c r="F113"/>
      <c r="G113"/>
      <c r="H113"/>
    </row>
    <row r="114" spans="2:8" x14ac:dyDescent="0.3">
      <c r="B114" s="1046"/>
      <c r="C114" s="1046"/>
      <c r="D114" s="1046"/>
      <c r="E114" s="1046"/>
      <c r="F114" s="1046"/>
      <c r="G114" s="1046"/>
      <c r="H114" s="1046"/>
    </row>
    <row r="115" spans="2:8" x14ac:dyDescent="0.3">
      <c r="B115" s="1046"/>
      <c r="C115" s="1046"/>
      <c r="D115" s="1046"/>
      <c r="E115" s="1046"/>
      <c r="F115" s="1046"/>
      <c r="G115" s="1046"/>
      <c r="H115" s="1046"/>
    </row>
  </sheetData>
  <sheetProtection sheet="1" objects="1" scenarios="1"/>
  <customSheetViews>
    <customSheetView guid="{32760361-675F-4FBF-A5CA-B0597C10371F}" scale="85" showGridLines="0" fitToPage="1" hiddenRows="1" hiddenColumns="1">
      <selection activeCell="F20" sqref="F20"/>
      <rowBreaks count="1" manualBreakCount="1">
        <brk id="66" max="16383" man="1"/>
      </rowBreaks>
      <pageMargins left="0.27559055118110237" right="0.47" top="0.43307086614173229" bottom="0.59055118110236227" header="0.51181102362204722" footer="0.31496062992125984"/>
      <printOptions horizontalCentered="1"/>
      <pageSetup paperSize="9" scale="71" fitToHeight="0" orientation="portrait" r:id="rId1"/>
      <headerFooter alignWithMargins="0">
        <oddFooter>&amp;L&amp;9LEL Schwäbisch Gmünd (Abtlg. II)
LAZBW Aulendorf&amp;R&amp;F</oddFooter>
      </headerFooter>
    </customSheetView>
  </customSheetViews>
  <mergeCells count="4">
    <mergeCell ref="B2:I2"/>
    <mergeCell ref="B3:I3"/>
    <mergeCell ref="B4:I4"/>
    <mergeCell ref="B5:I5"/>
  </mergeCells>
  <phoneticPr fontId="0" type="noConversion"/>
  <hyperlinks>
    <hyperlink ref="I21:I24" location="Hinweise!A1" display="Hinweise"/>
    <hyperlink ref="I22" location="Preise!A1" display=" Preise"/>
    <hyperlink ref="I21" location="Prämien!A1" display="Prämien"/>
    <hyperlink ref="I26" location="Arbeitsgänge!A1" display="Arbeitsgänge"/>
    <hyperlink ref="I24" location="Maschinen!A1" display="Festk-Maschinen"/>
    <hyperlink ref="I15" location="'Übersicht Tab.'!A1" display=" Übersicht"/>
    <hyperlink ref="I18" location="Erträge!A1" display="Erträge"/>
    <hyperlink ref="I19" location="'Energie, Raumge'!Druckbereich" display="Ts-gehalt,Energie"/>
    <hyperlink ref="I25" location="'Lager-Fläche'!A1" display="Festk-LagerFläche"/>
    <hyperlink ref="H35" location="'GSio4(a)'!A1" display="GSilage 4 Nutz.(a)"/>
    <hyperlink ref="H40" location="'Heu 2(a) '!A1" display="Heu 2Nutz. (a)"/>
    <hyperlink ref="H37" location="'GSBallen4Nutz.(a)'!A1" display="GSBallen 4Nutz(a)"/>
    <hyperlink ref="H44" location="'Standw.(a)'!A1" display="Weide ext(a)"/>
    <hyperlink ref="H51" location="'KGCob(a)'!A1" display="KGCobs(a)"/>
    <hyperlink ref="H53" location="'LuzGrün(a)'!A1" display="LuzerneGrün(a)"/>
    <hyperlink ref="H54" location="'LuzHeuTr(a)'!A1" display="LuzHeuTr(a)"/>
    <hyperlink ref="H56" location="'Silomais(a)'!A1" display="Silomais(a)"/>
    <hyperlink ref="H49" location="'KGGrün70-30(a)'!A1" display="KGGrün(a)"/>
    <hyperlink ref="H50" location="'KGSilo30-70(a)'!A1" display="KGSilage(a)"/>
    <hyperlink ref="H34" location="'GSilo3(a)'!A1" display="GSilage 3Nutz(a)"/>
    <hyperlink ref="H31" location="'Grün4(a)'!A1" display="Grünf. 4 Nutz(a)"/>
    <hyperlink ref="H36" location="'GSBallen3Nutz.(a)'!A1" display="GSBallen 3Nutz.(a)"/>
    <hyperlink ref="H41" location="'Heu 3(a)'!A1" display="Heu 3Nutz(a)"/>
    <hyperlink ref="H46" location="'Portionsw.(a)'!A1" display="Weide int.(a)"/>
    <hyperlink ref="H30" location="'Grün3(a)'!Druckbereich" display="Grünf.3Nutz.(a)"/>
    <hyperlink ref="H37:I37" location="'GSBallen4Nutz.(a)'!A1" display=" GSBallen 4Nutz(a)"/>
    <hyperlink ref="I35" location="'GS4(b)'!A1" display="GSilage 4 Nutz.(b)"/>
    <hyperlink ref="I37" location="'GSBallen 4Nutz.(b)'!A1" display=" GSBallen 4Nutz(b)"/>
    <hyperlink ref="I34" location="'GS3(b)'!A1" display="GSilage 3Nutz(b)"/>
    <hyperlink ref="I36" location="'GSBallen3Nutz.(b)'!A1" display="GSBallen 3Nutz.(b)"/>
    <hyperlink ref="I30" location="'G3(b)'!A1" display="Grünf.3Nutz.(b)"/>
    <hyperlink ref="I31" location="'G4(b)'!A1" display="Grünf. 4 Nutz(b)"/>
    <hyperlink ref="I13" location="Hinweise!A1" display=" Hinweise"/>
    <hyperlink ref="I16" location="Grafik!A1" display=" Grafik-(a)"/>
    <hyperlink ref="I40" location="'H2(b)'!A1" display="Heu 2Nutz. (b)"/>
    <hyperlink ref="I44" location="'Stw.(b)'!A1" display="Weide ext(b)"/>
    <hyperlink ref="I51" location="'KGCob(b)'!A1" display="KGCobs(b)"/>
    <hyperlink ref="I53" location="'LuzGrün(b)'!A1" display="LuzerneGrün(b)"/>
    <hyperlink ref="I56" location="'Silomais(b)'!A1" display="Silomais(b)"/>
    <hyperlink ref="I49" location="'KGGrün(b)'!A1" display="KGGrün(b)"/>
    <hyperlink ref="I50" location="'KSlo(b)'!A1" display="KGSilage(b)"/>
    <hyperlink ref="I41" location="'H3(b)'!A1" display="Heu 3Nutz(b)"/>
    <hyperlink ref="I46" location="'Porw.(b)'!A1" display="Weide int.(b)"/>
    <hyperlink ref="H59" location="'TestAb(a)'!Druckbereich" display="Testfrucht(a)"/>
    <hyperlink ref="I59" location="'TestAb(b)'!Druckbereich" display="Testfrucht (b)"/>
    <hyperlink ref="I23" location="Lohnma.!A1" display="Lohnmaschinen"/>
    <hyperlink ref="H42" location="'HeuTr. 4(a)'!Druckbereich" display="HeuTr. 4(a)"/>
    <hyperlink ref="I42" location="'HTr.4(b)'!Druckbereich" display="HTr.4(b)"/>
    <hyperlink ref="H45" location="'Umtriebsw.(a)'!A1" display="Weide mit(a)"/>
    <hyperlink ref="I45" location="'Umw.(b)'!A1" display="Weide mit(b)"/>
    <hyperlink ref="H58" location="'Zwf(a)'!A1" display="Zwf. (a)"/>
    <hyperlink ref="I58" location="'Zwf(b)'!A1" display="Zwf.(b)"/>
    <hyperlink ref="H57" location="'GPS GersteErbse(a)'!A1" display="GPS GersteErbse(a)"/>
    <hyperlink ref="I57" location="'GPS G-E(b)'!A1" display="GPS G-E(b)"/>
    <hyperlink ref="I54" location="'LuzHeuTr(b)'!A1" display="LuzHeuTr(b)"/>
  </hyperlinks>
  <printOptions horizontalCentered="1"/>
  <pageMargins left="0.27559055118110237" right="0.47" top="0.43307086614173229" bottom="0.59055118110236227" header="0.51181102362204722" footer="0.31496062992125984"/>
  <pageSetup paperSize="9" scale="71" fitToHeight="0" orientation="portrait" r:id="rId2"/>
  <headerFooter alignWithMargins="0">
    <oddFooter>&amp;L&amp;9LEL Schwäbisch Gmünd (Abtlg. II)
LAZBW Aulendorf&amp;R&amp;F</oddFooter>
  </headerFooter>
  <rowBreaks count="1" manualBreakCount="1">
    <brk id="66"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AR147"/>
  <sheetViews>
    <sheetView showGridLines="0" showZeros="0" zoomScale="97" zoomScaleNormal="97" workbookViewId="0">
      <selection activeCell="G1" sqref="G1"/>
    </sheetView>
  </sheetViews>
  <sheetFormatPr baseColWidth="10" defaultColWidth="11.375" defaultRowHeight="12.9" x14ac:dyDescent="0.2"/>
  <cols>
    <col min="1" max="1" width="2" style="438" customWidth="1"/>
    <col min="2" max="2" width="4.875" style="449" customWidth="1"/>
    <col min="3" max="3" width="50.375" style="449" customWidth="1"/>
    <col min="4" max="4" width="11.625" style="1109" customWidth="1"/>
    <col min="5" max="5" width="13.875" style="449" customWidth="1"/>
    <col min="6" max="6" width="7.375" style="449" customWidth="1"/>
    <col min="7" max="7" width="9.5" style="449" customWidth="1"/>
    <col min="8" max="8" width="12.875" style="449" customWidth="1"/>
    <col min="9" max="9" width="11.625" style="449" customWidth="1"/>
    <col min="10" max="10" width="11" style="449" customWidth="1"/>
    <col min="11" max="11" width="9.625" style="449" customWidth="1"/>
    <col min="12" max="12" width="12.375" style="449" customWidth="1"/>
    <col min="13" max="13" width="13.375" style="449" customWidth="1"/>
    <col min="14" max="14" width="12.125" style="449" customWidth="1"/>
    <col min="15" max="15" width="12.625" style="770" customWidth="1"/>
    <col min="16" max="16" width="57.625" style="770" customWidth="1"/>
    <col min="17" max="17" width="9.625" style="770" customWidth="1"/>
    <col min="18" max="18" width="7.875" style="770" customWidth="1"/>
    <col min="19" max="19" width="10.625" style="770" customWidth="1"/>
    <col min="20" max="20" width="11.625" style="770" customWidth="1"/>
    <col min="21" max="21" width="11.875" style="449" customWidth="1"/>
    <col min="22" max="24" width="9.125" style="438" customWidth="1"/>
    <col min="25" max="29" width="11.375" style="438"/>
    <col min="30" max="30" width="21.375" style="438" customWidth="1"/>
    <col min="31" max="16384" width="11.375" style="438"/>
  </cols>
  <sheetData>
    <row r="1" spans="1:41" ht="18.350000000000001" x14ac:dyDescent="0.2">
      <c r="C1" s="3169" t="s">
        <v>176</v>
      </c>
      <c r="D1" s="3169"/>
      <c r="E1" s="3169"/>
      <c r="F1" s="3169"/>
      <c r="G1" s="3169"/>
      <c r="I1" s="770"/>
      <c r="K1" s="770"/>
      <c r="L1" s="770"/>
      <c r="M1" s="770"/>
      <c r="N1" s="770"/>
      <c r="P1" s="449"/>
      <c r="Q1" s="438"/>
      <c r="R1" s="438"/>
      <c r="S1" s="438"/>
      <c r="T1" s="438"/>
      <c r="U1" s="438"/>
    </row>
    <row r="2" spans="1:41" ht="20.25" customHeight="1" x14ac:dyDescent="0.25">
      <c r="A2" s="766"/>
      <c r="B2" s="818" t="s">
        <v>49</v>
      </c>
      <c r="C2" s="431"/>
      <c r="D2" s="1107"/>
      <c r="E2" s="431"/>
      <c r="F2" s="431"/>
      <c r="G2" s="431"/>
      <c r="H2" s="819"/>
      <c r="I2" s="2298"/>
      <c r="J2" s="820"/>
      <c r="K2" s="434"/>
      <c r="L2" s="503" t="s">
        <v>312</v>
      </c>
      <c r="M2" s="818">
        <f>Prämien!$Y$2</f>
        <v>2018</v>
      </c>
      <c r="P2" s="449"/>
      <c r="Q2" s="438"/>
      <c r="R2" s="438"/>
      <c r="S2" s="438"/>
      <c r="T2" s="438"/>
      <c r="U2" s="438"/>
    </row>
    <row r="3" spans="1:41" ht="14.3" customHeight="1" x14ac:dyDescent="0.2">
      <c r="A3" s="766"/>
      <c r="B3" s="3305" t="s">
        <v>1264</v>
      </c>
      <c r="C3" s="3306"/>
      <c r="D3" s="3306"/>
      <c r="E3" s="3306"/>
      <c r="F3" s="3306"/>
      <c r="G3" s="3306"/>
      <c r="H3" s="3306"/>
      <c r="I3" s="3306"/>
      <c r="J3" s="3306"/>
      <c r="K3" s="3306"/>
      <c r="L3" s="3306"/>
      <c r="M3" s="3307"/>
      <c r="N3"/>
      <c r="O3"/>
      <c r="P3" s="449"/>
      <c r="Q3" s="438"/>
      <c r="R3" s="438"/>
      <c r="S3" s="438"/>
      <c r="T3" s="438"/>
      <c r="U3" s="438"/>
    </row>
    <row r="4" spans="1:41" ht="17.7" customHeight="1" x14ac:dyDescent="0.2">
      <c r="A4" s="766"/>
      <c r="B4" s="3308"/>
      <c r="C4" s="3309"/>
      <c r="D4" s="3309"/>
      <c r="E4" s="3309"/>
      <c r="F4" s="3309"/>
      <c r="G4" s="3309"/>
      <c r="H4" s="3309"/>
      <c r="I4" s="3309"/>
      <c r="J4" s="3309"/>
      <c r="K4" s="3309"/>
      <c r="L4" s="3309"/>
      <c r="M4" s="3310"/>
      <c r="N4"/>
      <c r="O4"/>
      <c r="P4" s="449"/>
      <c r="Q4" s="771"/>
      <c r="R4" s="771"/>
      <c r="S4" s="771"/>
      <c r="T4" s="771"/>
      <c r="U4" s="771"/>
      <c r="V4" s="771"/>
      <c r="W4" s="771"/>
      <c r="X4" s="771"/>
      <c r="Y4" s="771"/>
      <c r="Z4" s="771"/>
      <c r="AA4" s="771"/>
      <c r="AB4" s="771"/>
      <c r="AC4" s="771"/>
      <c r="AD4" s="771"/>
      <c r="AE4" s="771"/>
      <c r="AF4" s="771"/>
      <c r="AG4" s="771"/>
      <c r="AH4" s="771"/>
      <c r="AI4" s="771"/>
      <c r="AJ4" s="771"/>
      <c r="AK4" s="771"/>
      <c r="AL4" s="771"/>
      <c r="AM4" s="771"/>
    </row>
    <row r="5" spans="1:41" ht="10.199999999999999" customHeight="1" x14ac:dyDescent="0.2">
      <c r="B5" s="821"/>
      <c r="C5"/>
      <c r="D5"/>
      <c r="E5"/>
      <c r="F5"/>
      <c r="G5"/>
      <c r="H5"/>
      <c r="I5"/>
      <c r="J5"/>
      <c r="K5"/>
      <c r="L5"/>
      <c r="M5"/>
      <c r="N5"/>
      <c r="O5"/>
      <c r="P5" s="449"/>
      <c r="Q5" s="771"/>
      <c r="R5" s="771"/>
      <c r="S5" s="771"/>
      <c r="T5" s="821" t="s">
        <v>518</v>
      </c>
      <c r="X5" s="431"/>
      <c r="Y5" s="2104">
        <f>(D5)/(100+AA5)*100</f>
        <v>0</v>
      </c>
      <c r="Z5" s="463"/>
      <c r="AA5" s="1749">
        <v>19</v>
      </c>
      <c r="AB5" s="2104">
        <f>D5*AA5/100</f>
        <v>0</v>
      </c>
      <c r="AC5" s="771"/>
      <c r="AD5" s="771"/>
      <c r="AE5" s="771"/>
      <c r="AF5" s="771"/>
      <c r="AG5" s="771"/>
      <c r="AH5" s="771"/>
      <c r="AI5" s="771"/>
      <c r="AJ5" s="771"/>
      <c r="AK5" s="771"/>
      <c r="AL5" s="771"/>
      <c r="AM5" s="771"/>
    </row>
    <row r="6" spans="1:41" ht="26.35" customHeight="1" x14ac:dyDescent="0.2">
      <c r="A6" s="766"/>
      <c r="B6" s="2614" t="s">
        <v>1265</v>
      </c>
      <c r="D6" s="2616">
        <v>1.2</v>
      </c>
      <c r="E6" s="771" t="s">
        <v>936</v>
      </c>
      <c r="F6" s="2615">
        <f>Preise!M10</f>
        <v>19</v>
      </c>
      <c r="G6" s="3024"/>
      <c r="H6" s="771" t="s">
        <v>50</v>
      </c>
      <c r="I6" s="2616">
        <v>0.21479999999999999</v>
      </c>
      <c r="J6" s="3036" t="s">
        <v>51</v>
      </c>
      <c r="K6" s="2998"/>
      <c r="L6" s="771" t="s">
        <v>1266</v>
      </c>
      <c r="M6" s="2615">
        <f>(W6)-I6</f>
        <v>0.79360336134453779</v>
      </c>
      <c r="O6" s="771"/>
      <c r="P6" s="771"/>
      <c r="Q6" s="771"/>
      <c r="R6" s="2614" t="s">
        <v>518</v>
      </c>
      <c r="S6" s="449"/>
      <c r="T6" s="438"/>
      <c r="U6" s="438"/>
      <c r="V6" s="431"/>
      <c r="W6" s="2104">
        <f>(D6)/(100+Y6)*100</f>
        <v>1.0084033613445378</v>
      </c>
      <c r="X6" s="463"/>
      <c r="Y6" s="1749">
        <v>19</v>
      </c>
      <c r="Z6" s="2104">
        <f>D6*Y6/100</f>
        <v>0.22800000000000001</v>
      </c>
      <c r="AC6" s="771"/>
      <c r="AD6" s="771"/>
      <c r="AE6" s="771"/>
      <c r="AF6" s="771"/>
      <c r="AG6" s="771"/>
      <c r="AH6" s="771"/>
      <c r="AI6" s="771"/>
      <c r="AJ6" s="771"/>
      <c r="AK6" s="771"/>
      <c r="AL6" s="771"/>
      <c r="AM6" s="771"/>
    </row>
    <row r="7" spans="1:41" ht="9" customHeight="1" thickBot="1" x14ac:dyDescent="0.25">
      <c r="A7" s="766"/>
      <c r="B7" s="767"/>
      <c r="C7" s="431"/>
      <c r="D7" s="1108"/>
      <c r="E7" s="463"/>
      <c r="F7" s="729"/>
      <c r="G7" s="729"/>
      <c r="H7" s="461"/>
      <c r="I7" s="461"/>
      <c r="J7" s="461"/>
      <c r="K7" s="461"/>
      <c r="L7" s="461"/>
      <c r="M7" s="461"/>
      <c r="N7" s="434"/>
      <c r="O7" s="461"/>
      <c r="P7" s="461"/>
      <c r="Q7" s="449"/>
      <c r="R7" s="771"/>
      <c r="S7" s="771"/>
      <c r="T7" s="771"/>
      <c r="U7" s="771"/>
      <c r="V7" s="771"/>
      <c r="W7" s="771"/>
      <c r="X7" s="771"/>
      <c r="Y7" s="771"/>
      <c r="Z7" s="771"/>
      <c r="AA7" s="771"/>
      <c r="AB7" s="771"/>
      <c r="AC7" s="771"/>
      <c r="AD7" s="771"/>
      <c r="AE7" s="771"/>
      <c r="AF7" s="771"/>
      <c r="AG7" s="771"/>
      <c r="AH7" s="771"/>
      <c r="AI7" s="771"/>
      <c r="AJ7" s="771"/>
      <c r="AK7" s="771"/>
      <c r="AL7" s="771"/>
      <c r="AM7" s="771"/>
      <c r="AN7" s="771"/>
    </row>
    <row r="8" spans="1:41" ht="21.25" customHeight="1" x14ac:dyDescent="0.3">
      <c r="A8" s="766"/>
      <c r="B8" s="3301" t="s">
        <v>52</v>
      </c>
      <c r="C8" s="3302"/>
      <c r="D8" s="2577"/>
      <c r="E8" s="2578"/>
      <c r="F8" s="2579"/>
      <c r="G8" s="2580"/>
      <c r="H8" s="2581" t="s">
        <v>930</v>
      </c>
      <c r="I8" s="2580"/>
      <c r="J8" s="2580"/>
      <c r="K8" s="2580"/>
      <c r="L8" s="2580"/>
      <c r="M8" s="2582"/>
      <c r="N8" s="461"/>
      <c r="O8" s="461"/>
      <c r="P8" s="461"/>
      <c r="Q8" s="449"/>
      <c r="R8" s="461"/>
      <c r="S8" s="449"/>
      <c r="T8" s="771"/>
      <c r="U8" s="771"/>
      <c r="V8" s="771"/>
      <c r="W8" s="771"/>
      <c r="X8" s="771"/>
      <c r="Y8" s="771"/>
      <c r="Z8" s="771"/>
      <c r="AA8" s="771"/>
      <c r="AB8" s="771"/>
      <c r="AC8" s="771"/>
      <c r="AD8" s="771"/>
      <c r="AE8" s="771"/>
      <c r="AF8" s="771"/>
      <c r="AG8" s="771"/>
      <c r="AH8" s="771"/>
      <c r="AI8" s="771"/>
      <c r="AJ8" s="771"/>
      <c r="AK8" s="771"/>
      <c r="AL8" s="771"/>
      <c r="AM8" s="771"/>
      <c r="AN8" s="771"/>
      <c r="AO8" s="771"/>
    </row>
    <row r="9" spans="1:41" ht="21.25" customHeight="1" x14ac:dyDescent="0.2">
      <c r="A9" s="766"/>
      <c r="B9" s="3303"/>
      <c r="C9" s="3304"/>
      <c r="D9" s="2583"/>
      <c r="E9" s="2584"/>
      <c r="F9" s="2585" t="s">
        <v>52</v>
      </c>
      <c r="G9" s="2586"/>
      <c r="H9" s="2587"/>
      <c r="I9" s="2588" t="s">
        <v>931</v>
      </c>
      <c r="J9" s="2586"/>
      <c r="K9" s="2589"/>
      <c r="L9" s="2590"/>
      <c r="M9" s="2591"/>
      <c r="N9" s="461"/>
      <c r="O9" s="461"/>
      <c r="P9" s="461"/>
      <c r="Q9" s="449"/>
      <c r="R9" s="461"/>
      <c r="S9" s="449"/>
      <c r="T9" s="771"/>
      <c r="U9" s="771"/>
      <c r="V9" s="771"/>
      <c r="W9" s="771"/>
      <c r="X9" s="771"/>
      <c r="Y9" s="771"/>
      <c r="Z9" s="771"/>
      <c r="AA9" s="771"/>
      <c r="AB9" s="771"/>
      <c r="AC9" s="771"/>
      <c r="AD9" s="771"/>
      <c r="AE9" s="771"/>
      <c r="AF9" s="771"/>
      <c r="AG9" s="771"/>
      <c r="AH9" s="771"/>
      <c r="AI9" s="771"/>
      <c r="AJ9" s="771"/>
      <c r="AK9" s="771"/>
      <c r="AL9" s="771"/>
      <c r="AM9" s="771"/>
      <c r="AN9" s="771"/>
      <c r="AO9" s="771"/>
    </row>
    <row r="10" spans="1:41" ht="21.25" customHeight="1" x14ac:dyDescent="0.25">
      <c r="A10" s="766"/>
      <c r="B10" s="3303"/>
      <c r="C10" s="3304"/>
      <c r="D10" s="2592"/>
      <c r="E10" s="2593"/>
      <c r="F10" s="2594" t="s">
        <v>1237</v>
      </c>
      <c r="G10" s="2595"/>
      <c r="H10" s="2587"/>
      <c r="I10" s="2596" t="s">
        <v>932</v>
      </c>
      <c r="J10" s="2597"/>
      <c r="K10" s="2595">
        <f>M6</f>
        <v>0.79360336134453779</v>
      </c>
      <c r="L10" s="2589" t="s">
        <v>51</v>
      </c>
      <c r="M10" s="2598"/>
      <c r="N10" s="461"/>
      <c r="O10" s="461"/>
      <c r="P10" s="461"/>
      <c r="Q10" s="449"/>
      <c r="R10" s="461"/>
      <c r="S10" s="449"/>
      <c r="T10" s="771"/>
      <c r="U10" s="771"/>
      <c r="V10" s="771"/>
      <c r="W10" s="771"/>
      <c r="X10" s="771"/>
      <c r="Y10" s="771"/>
      <c r="Z10" s="771"/>
      <c r="AA10" s="771"/>
      <c r="AB10" s="771"/>
      <c r="AC10" s="771"/>
      <c r="AD10" s="771"/>
      <c r="AE10" s="771"/>
      <c r="AF10" s="771"/>
      <c r="AG10" s="771"/>
      <c r="AH10" s="771"/>
      <c r="AI10" s="771"/>
      <c r="AJ10" s="771"/>
      <c r="AK10" s="771"/>
      <c r="AL10" s="771"/>
      <c r="AM10" s="771"/>
      <c r="AN10" s="771"/>
      <c r="AO10" s="771"/>
    </row>
    <row r="11" spans="1:41" ht="21.25" customHeight="1" x14ac:dyDescent="0.25">
      <c r="A11" s="766"/>
      <c r="B11" s="2599"/>
      <c r="C11" s="2590"/>
      <c r="D11" s="2592" t="s">
        <v>912</v>
      </c>
      <c r="E11" s="2600" t="s">
        <v>344</v>
      </c>
      <c r="F11" s="2594" t="s">
        <v>933</v>
      </c>
      <c r="G11" s="2601"/>
      <c r="H11" s="2587"/>
      <c r="I11" s="2596" t="s">
        <v>934</v>
      </c>
      <c r="J11" s="2586"/>
      <c r="K11" s="2602"/>
      <c r="L11" s="2602"/>
      <c r="M11" s="2603"/>
      <c r="N11" s="461"/>
      <c r="O11" s="461"/>
      <c r="P11" s="461"/>
      <c r="Q11" s="449"/>
      <c r="R11" s="461"/>
      <c r="S11" s="449"/>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row>
    <row r="12" spans="1:41" ht="21.25" customHeight="1" x14ac:dyDescent="0.3">
      <c r="A12" s="766"/>
      <c r="B12" s="2604" t="s">
        <v>282</v>
      </c>
      <c r="C12" s="2605" t="s">
        <v>53</v>
      </c>
      <c r="D12" s="3037" t="s">
        <v>914</v>
      </c>
      <c r="E12" s="3038" t="s">
        <v>345</v>
      </c>
      <c r="F12" s="3037" t="s">
        <v>346</v>
      </c>
      <c r="G12" s="3039"/>
      <c r="H12" s="3040"/>
      <c r="I12" s="3041">
        <v>0.7</v>
      </c>
      <c r="J12" s="3042"/>
      <c r="K12" s="3043">
        <v>1</v>
      </c>
      <c r="L12" s="3044"/>
      <c r="M12" s="3045">
        <v>1.5</v>
      </c>
      <c r="N12" s="461"/>
      <c r="O12" s="461"/>
      <c r="P12" s="461"/>
      <c r="Q12" s="449"/>
      <c r="R12" s="461"/>
      <c r="S12" s="449"/>
      <c r="T12" s="771"/>
      <c r="U12" s="771"/>
      <c r="V12" s="771"/>
      <c r="W12" s="771"/>
      <c r="X12" s="771"/>
      <c r="Y12" s="771"/>
      <c r="Z12" s="771"/>
      <c r="AA12" s="771"/>
      <c r="AB12" s="771"/>
      <c r="AC12" s="771"/>
      <c r="AD12" s="771"/>
      <c r="AE12" s="771"/>
      <c r="AF12" s="771"/>
      <c r="AG12" s="771"/>
      <c r="AH12" s="771"/>
      <c r="AI12" s="771"/>
      <c r="AJ12" s="771"/>
      <c r="AK12" s="771"/>
      <c r="AL12" s="771"/>
      <c r="AM12" s="771"/>
      <c r="AN12" s="771"/>
      <c r="AO12" s="771"/>
    </row>
    <row r="13" spans="1:41" ht="17.350000000000001" customHeight="1" x14ac:dyDescent="0.25">
      <c r="A13" s="766"/>
      <c r="B13" s="2606">
        <v>1</v>
      </c>
      <c r="C13" s="1751" t="s">
        <v>1053</v>
      </c>
      <c r="D13" s="1755">
        <v>200</v>
      </c>
      <c r="E13" s="1752">
        <v>23.3</v>
      </c>
      <c r="F13" s="3049">
        <v>10.199999999999999</v>
      </c>
      <c r="G13"/>
      <c r="H13" s="163"/>
      <c r="I13" s="2095">
        <f>E13*0.7*$M$6+F13</f>
        <v>23.143670823529412</v>
      </c>
      <c r="J13" s="962"/>
      <c r="K13" s="2096">
        <f>E13*$M$6+F13</f>
        <v>28.690958319327731</v>
      </c>
      <c r="L13" s="2022"/>
      <c r="M13" s="2607">
        <f>E13*1.5*$M$6+F13</f>
        <v>37.936437478991593</v>
      </c>
      <c r="N13" s="461"/>
      <c r="O13" s="2553" t="s">
        <v>1302</v>
      </c>
      <c r="P13" s="461"/>
      <c r="Q13" s="449"/>
      <c r="R13" s="461"/>
      <c r="S13" s="449"/>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row>
    <row r="14" spans="1:41" ht="17.350000000000001" customHeight="1" x14ac:dyDescent="0.25">
      <c r="A14" s="766"/>
      <c r="B14" s="2606">
        <v>2</v>
      </c>
      <c r="C14" s="1751" t="s">
        <v>935</v>
      </c>
      <c r="D14" s="1755">
        <v>120</v>
      </c>
      <c r="E14" s="1752">
        <v>14</v>
      </c>
      <c r="F14" s="3049">
        <v>8.1999999999999993</v>
      </c>
      <c r="G14"/>
      <c r="H14" s="163"/>
      <c r="I14" s="2095">
        <f t="shared" ref="I14:I19" si="0">E14*0.7*$M$6+F14</f>
        <v>15.977312941176468</v>
      </c>
      <c r="J14" s="962"/>
      <c r="K14" s="2096">
        <f t="shared" ref="K14:K19" si="1">E14*$M$6+F14</f>
        <v>19.310447058823527</v>
      </c>
      <c r="L14" s="2097"/>
      <c r="M14" s="2607">
        <f t="shared" ref="M14:M19" si="2">E14*1.5*$M$6+F14</f>
        <v>24.865670588235293</v>
      </c>
      <c r="N14" s="461"/>
      <c r="O14" s="2789" t="s">
        <v>1302</v>
      </c>
      <c r="P14" s="461"/>
      <c r="Q14" s="449"/>
      <c r="S14" s="449"/>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row>
    <row r="15" spans="1:41" ht="17.350000000000001" customHeight="1" x14ac:dyDescent="0.25">
      <c r="A15" s="766"/>
      <c r="B15" s="2606">
        <v>3</v>
      </c>
      <c r="C15" s="1751" t="s">
        <v>1054</v>
      </c>
      <c r="D15" s="1755">
        <v>102</v>
      </c>
      <c r="E15" s="1752">
        <v>11.9</v>
      </c>
      <c r="F15" s="3049">
        <v>7.8</v>
      </c>
      <c r="G15"/>
      <c r="H15" s="163"/>
      <c r="I15" s="2095">
        <f t="shared" si="0"/>
        <v>14.410716000000001</v>
      </c>
      <c r="J15" s="962"/>
      <c r="K15" s="2096">
        <f t="shared" si="1"/>
        <v>17.243880000000001</v>
      </c>
      <c r="L15" s="2097"/>
      <c r="M15" s="2607">
        <f t="shared" si="2"/>
        <v>21.965820000000001</v>
      </c>
      <c r="N15" s="461"/>
      <c r="O15" s="2789" t="s">
        <v>1302</v>
      </c>
      <c r="P15" s="461"/>
      <c r="Q15" s="449"/>
      <c r="S15" s="449"/>
      <c r="T15" s="771"/>
      <c r="U15" s="771"/>
      <c r="V15" s="771"/>
      <c r="W15" s="771"/>
      <c r="X15" s="771"/>
      <c r="Y15" s="771"/>
      <c r="Z15" s="771"/>
      <c r="AA15" s="771"/>
      <c r="AB15" s="771"/>
      <c r="AC15" s="771"/>
      <c r="AD15" s="771"/>
      <c r="AE15" s="771"/>
      <c r="AF15" s="771"/>
      <c r="AG15" s="771"/>
      <c r="AH15" s="771"/>
      <c r="AI15" s="771"/>
      <c r="AJ15" s="771"/>
      <c r="AK15" s="771"/>
      <c r="AL15" s="771"/>
      <c r="AM15" s="771"/>
      <c r="AN15" s="771"/>
      <c r="AO15" s="771"/>
    </row>
    <row r="16" spans="1:41" ht="17.350000000000001" customHeight="1" x14ac:dyDescent="0.25">
      <c r="A16" s="766"/>
      <c r="B16" s="2606">
        <v>4</v>
      </c>
      <c r="C16" s="1751" t="s">
        <v>1055</v>
      </c>
      <c r="D16" s="1755">
        <v>83</v>
      </c>
      <c r="E16" s="1752">
        <v>9.6999999999999993</v>
      </c>
      <c r="F16" s="3049">
        <v>7.3</v>
      </c>
      <c r="G16"/>
      <c r="H16" s="163"/>
      <c r="I16" s="2095">
        <f t="shared" si="0"/>
        <v>12.68856682352941</v>
      </c>
      <c r="J16" s="962"/>
      <c r="K16" s="2096">
        <f t="shared" si="1"/>
        <v>14.997952605042016</v>
      </c>
      <c r="L16" s="2097"/>
      <c r="M16" s="2607">
        <f t="shared" si="2"/>
        <v>18.846928907563022</v>
      </c>
      <c r="N16" s="461"/>
      <c r="O16" s="2789" t="s">
        <v>1302</v>
      </c>
      <c r="P16" s="461"/>
      <c r="Q16" s="449"/>
      <c r="S16" s="449"/>
      <c r="T16" s="771"/>
      <c r="U16" s="771"/>
      <c r="V16" s="771"/>
      <c r="W16" s="771"/>
      <c r="X16" s="771"/>
      <c r="Y16" s="771"/>
      <c r="Z16" s="771"/>
      <c r="AA16" s="771"/>
      <c r="AB16" s="771"/>
      <c r="AC16" s="771"/>
      <c r="AD16" s="771"/>
      <c r="AE16" s="771"/>
      <c r="AF16" s="771"/>
      <c r="AG16" s="771"/>
      <c r="AH16" s="771"/>
      <c r="AI16" s="771"/>
      <c r="AJ16" s="771"/>
      <c r="AK16" s="771"/>
      <c r="AL16" s="771"/>
      <c r="AM16" s="771"/>
      <c r="AN16" s="771"/>
      <c r="AO16" s="771"/>
    </row>
    <row r="17" spans="1:44" ht="17.350000000000001" customHeight="1" x14ac:dyDescent="0.25">
      <c r="A17" s="766"/>
      <c r="B17" s="2606">
        <v>5</v>
      </c>
      <c r="C17" s="1751" t="s">
        <v>229</v>
      </c>
      <c r="D17" s="1755">
        <v>67</v>
      </c>
      <c r="E17" s="1752">
        <v>8.6999999999999993</v>
      </c>
      <c r="F17" s="3049">
        <v>7.5</v>
      </c>
      <c r="G17"/>
      <c r="H17" s="163"/>
      <c r="I17" s="2095">
        <f t="shared" si="0"/>
        <v>12.333044470588234</v>
      </c>
      <c r="J17" s="962"/>
      <c r="K17" s="2096">
        <f t="shared" si="1"/>
        <v>14.404349243697478</v>
      </c>
      <c r="L17" s="2097"/>
      <c r="M17" s="2607">
        <f t="shared" si="2"/>
        <v>17.856523865546215</v>
      </c>
      <c r="N17" s="461"/>
      <c r="O17" s="2789" t="s">
        <v>1303</v>
      </c>
      <c r="P17" s="461"/>
      <c r="Q17" s="449"/>
      <c r="S17" s="449"/>
      <c r="T17" s="771"/>
      <c r="U17" s="771"/>
      <c r="V17" s="771"/>
      <c r="W17" s="771"/>
      <c r="X17" s="771"/>
      <c r="Y17" s="771"/>
      <c r="Z17" s="771"/>
      <c r="AA17" s="771"/>
      <c r="AB17" s="771"/>
      <c r="AC17" s="771"/>
      <c r="AD17" s="771"/>
      <c r="AE17" s="771"/>
      <c r="AF17" s="771"/>
      <c r="AG17" s="771"/>
      <c r="AH17" s="771"/>
      <c r="AI17" s="771"/>
      <c r="AJ17" s="771"/>
      <c r="AK17" s="771"/>
      <c r="AL17" s="771"/>
      <c r="AM17" s="771"/>
      <c r="AN17" s="771"/>
      <c r="AO17" s="771"/>
    </row>
    <row r="18" spans="1:44" ht="17.350000000000001" customHeight="1" x14ac:dyDescent="0.25">
      <c r="A18" s="766"/>
      <c r="B18" s="2606">
        <v>6</v>
      </c>
      <c r="C18" s="1751" t="s">
        <v>1056</v>
      </c>
      <c r="D18" s="1755">
        <v>54</v>
      </c>
      <c r="E18" s="1752">
        <v>6.3</v>
      </c>
      <c r="F18" s="3049">
        <v>6.2</v>
      </c>
      <c r="G18"/>
      <c r="H18" s="163"/>
      <c r="I18" s="2095">
        <f t="shared" si="0"/>
        <v>9.6997908235294119</v>
      </c>
      <c r="J18" s="962"/>
      <c r="K18" s="2096">
        <f t="shared" si="1"/>
        <v>11.199701176470588</v>
      </c>
      <c r="L18" s="2097"/>
      <c r="M18" s="2607">
        <f t="shared" si="2"/>
        <v>13.699551764705882</v>
      </c>
      <c r="N18" s="461"/>
      <c r="O18" s="2789" t="s">
        <v>1302</v>
      </c>
      <c r="P18" s="461"/>
      <c r="Q18" s="449"/>
      <c r="S18" s="449"/>
      <c r="T18" s="771"/>
      <c r="U18" s="771"/>
      <c r="V18" s="771"/>
      <c r="W18" s="771"/>
      <c r="X18" s="771"/>
      <c r="Y18" s="771"/>
      <c r="Z18" s="771"/>
      <c r="AA18" s="771"/>
      <c r="AB18" s="771"/>
      <c r="AC18" s="771"/>
      <c r="AD18" s="771"/>
      <c r="AE18" s="771"/>
      <c r="AF18" s="771"/>
      <c r="AG18" s="771"/>
      <c r="AH18" s="771"/>
      <c r="AI18" s="771"/>
      <c r="AJ18" s="771"/>
      <c r="AK18" s="771"/>
      <c r="AL18" s="771"/>
      <c r="AM18" s="771"/>
      <c r="AN18" s="771"/>
      <c r="AO18" s="771"/>
    </row>
    <row r="19" spans="1:44" ht="17.350000000000001" customHeight="1" thickBot="1" x14ac:dyDescent="0.3">
      <c r="A19" s="766"/>
      <c r="B19" s="2608">
        <v>7</v>
      </c>
      <c r="C19" s="2781" t="s">
        <v>612</v>
      </c>
      <c r="D19" s="2780">
        <v>45</v>
      </c>
      <c r="E19" s="2779">
        <v>5.3</v>
      </c>
      <c r="F19" s="3050">
        <v>5.7</v>
      </c>
      <c r="G19" s="1323"/>
      <c r="H19" s="2610"/>
      <c r="I19" s="2611">
        <f t="shared" si="0"/>
        <v>8.6442684705882353</v>
      </c>
      <c r="J19" s="2612"/>
      <c r="K19" s="2609">
        <f t="shared" si="1"/>
        <v>9.9060978151260493</v>
      </c>
      <c r="L19" s="2612"/>
      <c r="M19" s="2613">
        <f t="shared" si="2"/>
        <v>12.009146722689074</v>
      </c>
      <c r="N19" s="770"/>
      <c r="O19" s="2789" t="s">
        <v>1302</v>
      </c>
      <c r="P19" s="461"/>
      <c r="Q19"/>
      <c r="R19"/>
      <c r="S19"/>
      <c r="T19"/>
      <c r="U19"/>
      <c r="V19" s="771"/>
      <c r="W19" s="771"/>
      <c r="X19" s="771"/>
      <c r="Y19"/>
      <c r="Z19"/>
      <c r="AA19" s="771"/>
      <c r="AB19" s="771"/>
      <c r="AC19" s="771"/>
      <c r="AD19" s="771"/>
      <c r="AE19" s="771"/>
      <c r="AF19" s="771"/>
      <c r="AG19" s="771"/>
      <c r="AH19" s="771"/>
      <c r="AI19" s="771"/>
      <c r="AJ19" s="771"/>
      <c r="AK19" s="771"/>
      <c r="AL19" s="771"/>
      <c r="AM19" s="771"/>
      <c r="AN19" s="771"/>
      <c r="AO19" s="771"/>
    </row>
    <row r="20" spans="1:44" ht="4.25" customHeight="1" x14ac:dyDescent="0.25">
      <c r="A20" s="766"/>
      <c r="B20" s="2635"/>
      <c r="C20"/>
      <c r="D20"/>
      <c r="E20"/>
      <c r="F20"/>
      <c r="G20"/>
      <c r="H20"/>
      <c r="I20" s="2096"/>
      <c r="J20" s="962"/>
      <c r="K20" s="2096"/>
      <c r="L20" s="962"/>
      <c r="M20" s="2096"/>
      <c r="N20" s="770"/>
      <c r="O20" s="2553"/>
      <c r="P20" s="461"/>
      <c r="Q20"/>
      <c r="R20"/>
      <c r="S20"/>
      <c r="T20"/>
      <c r="U20"/>
      <c r="V20" s="771"/>
      <c r="W20" s="771"/>
      <c r="X20" s="771"/>
      <c r="Y20"/>
      <c r="Z20"/>
      <c r="AA20" s="771"/>
      <c r="AB20" s="771"/>
      <c r="AC20" s="771"/>
      <c r="AD20" s="771"/>
      <c r="AE20" s="771"/>
      <c r="AF20" s="771"/>
      <c r="AG20" s="771"/>
      <c r="AH20" s="771"/>
      <c r="AI20" s="771"/>
      <c r="AJ20" s="771"/>
      <c r="AK20" s="771"/>
      <c r="AL20" s="771"/>
      <c r="AM20" s="771"/>
      <c r="AN20" s="771"/>
      <c r="AO20" s="771"/>
    </row>
    <row r="21" spans="1:44" s="1128" customFormat="1" ht="18.7" customHeight="1" thickBot="1" x14ac:dyDescent="0.35">
      <c r="A21" s="820"/>
      <c r="B21" s="2807" t="s">
        <v>1101</v>
      </c>
      <c r="C21"/>
      <c r="D21"/>
      <c r="E21"/>
      <c r="F21"/>
      <c r="G21"/>
      <c r="H21"/>
      <c r="I21" s="1129"/>
      <c r="J21" s="1129"/>
      <c r="K21" s="1129"/>
      <c r="L21" s="1129"/>
      <c r="M21" s="1129"/>
      <c r="N21" s="1129"/>
      <c r="O21" s="1130"/>
      <c r="Q21"/>
      <c r="R21"/>
      <c r="S21"/>
      <c r="T21"/>
      <c r="U21"/>
      <c r="V21" s="1131"/>
      <c r="W21" s="1131"/>
      <c r="X21" s="1131"/>
      <c r="Y21"/>
      <c r="Z21"/>
      <c r="AA21"/>
      <c r="AB21"/>
      <c r="AC21" s="1131"/>
      <c r="AD21" s="1131"/>
      <c r="AE21" s="1131"/>
      <c r="AF21" s="1131"/>
      <c r="AG21" s="1131"/>
      <c r="AH21" s="1131"/>
      <c r="AI21" s="1131"/>
      <c r="AJ21" s="1131"/>
      <c r="AK21" s="1131"/>
      <c r="AL21" s="1131"/>
      <c r="AM21" s="1131"/>
      <c r="AN21" s="1131"/>
      <c r="AO21" s="1131"/>
      <c r="AP21" s="1131"/>
      <c r="AQ21" s="1131"/>
    </row>
    <row r="22" spans="1:44" ht="18.7" customHeight="1" x14ac:dyDescent="0.25">
      <c r="A22" s="766"/>
      <c r="B22" s="3285" t="s">
        <v>380</v>
      </c>
      <c r="C22" s="3286"/>
      <c r="D22" s="3289" t="s">
        <v>0</v>
      </c>
      <c r="E22" s="2550" t="s">
        <v>908</v>
      </c>
      <c r="F22" s="3292" t="s">
        <v>52</v>
      </c>
      <c r="G22" s="3293"/>
      <c r="H22" s="3293"/>
      <c r="I22" s="3293"/>
      <c r="J22" s="3293"/>
      <c r="K22" s="3294"/>
      <c r="L22" s="2551" t="s">
        <v>1080</v>
      </c>
      <c r="M22" s="2552"/>
      <c r="N22" s="770"/>
      <c r="O22" s="2553"/>
      <c r="P22" s="461"/>
      <c r="Q22"/>
      <c r="R22"/>
      <c r="S22"/>
      <c r="T22"/>
      <c r="U22"/>
      <c r="V22" s="434"/>
      <c r="W22" s="434"/>
      <c r="X22" s="434"/>
      <c r="Y22"/>
      <c r="Z22"/>
      <c r="AA22"/>
      <c r="AB22"/>
      <c r="AC22" s="771"/>
      <c r="AD22" s="771"/>
      <c r="AE22" s="771"/>
      <c r="AF22" s="771"/>
      <c r="AG22" s="771"/>
      <c r="AH22" s="771"/>
      <c r="AI22" s="771"/>
      <c r="AJ22" s="771"/>
      <c r="AK22" s="771"/>
      <c r="AL22" s="771"/>
      <c r="AM22" s="771"/>
      <c r="AN22" s="771"/>
      <c r="AO22" s="771"/>
      <c r="AP22" s="771"/>
      <c r="AQ22" s="771"/>
    </row>
    <row r="23" spans="1:44" ht="22.6" customHeight="1" x14ac:dyDescent="0.25">
      <c r="A23" s="766"/>
      <c r="B23" s="3287"/>
      <c r="C23" s="3288"/>
      <c r="D23" s="3290" t="s">
        <v>348</v>
      </c>
      <c r="E23" s="3295" t="s">
        <v>909</v>
      </c>
      <c r="F23" s="2554"/>
      <c r="G23" s="2555"/>
      <c r="H23" s="3298" t="s">
        <v>910</v>
      </c>
      <c r="I23" s="3299"/>
      <c r="J23" s="3300"/>
      <c r="K23" s="3290" t="s">
        <v>911</v>
      </c>
      <c r="L23" s="2556" t="s">
        <v>350</v>
      </c>
      <c r="M23" s="2557" t="s">
        <v>165</v>
      </c>
      <c r="N23" s="770"/>
      <c r="P23"/>
      <c r="Q23"/>
      <c r="R23"/>
      <c r="S23"/>
      <c r="T23"/>
      <c r="U23"/>
      <c r="V23"/>
      <c r="W23"/>
      <c r="X23"/>
      <c r="Y23"/>
      <c r="Z23"/>
      <c r="AA23"/>
      <c r="AB23"/>
      <c r="AC23" s="771"/>
      <c r="AD23" s="771"/>
      <c r="AE23" s="771"/>
      <c r="AF23" s="771"/>
      <c r="AG23" s="771"/>
      <c r="AH23" s="771"/>
      <c r="AI23" s="771"/>
      <c r="AJ23" s="771"/>
      <c r="AK23" s="771"/>
      <c r="AL23" s="771"/>
      <c r="AM23" s="771"/>
      <c r="AN23" s="771"/>
      <c r="AO23" s="771"/>
      <c r="AP23" s="771"/>
      <c r="AQ23" s="771"/>
      <c r="AR23" s="771"/>
    </row>
    <row r="24" spans="1:44" ht="16.5" customHeight="1" x14ac:dyDescent="0.25">
      <c r="A24" s="766"/>
      <c r="B24" s="3287"/>
      <c r="C24" s="3288"/>
      <c r="D24" s="3290"/>
      <c r="E24" s="3296"/>
      <c r="F24" s="2558"/>
      <c r="G24" s="2555" t="s">
        <v>912</v>
      </c>
      <c r="H24" s="2559"/>
      <c r="I24" s="2560"/>
      <c r="J24" s="2561"/>
      <c r="K24" s="3290"/>
      <c r="L24" s="2562" t="s">
        <v>381</v>
      </c>
      <c r="M24" s="2557" t="str">
        <f>IF(Preise!AI5=1," mit MwSt.","ohne MwSt")</f>
        <v xml:space="preserve"> mit MwSt.</v>
      </c>
      <c r="N24" s="770"/>
      <c r="O24" s="2553"/>
      <c r="P24" s="461"/>
      <c r="Q24" s="449"/>
      <c r="R24" s="434"/>
      <c r="S24" s="434"/>
      <c r="T24" s="434"/>
      <c r="U24" s="434"/>
      <c r="V24" s="434"/>
      <c r="W24" s="434"/>
      <c r="X24" s="771"/>
      <c r="Y24"/>
      <c r="Z24"/>
      <c r="AA24"/>
      <c r="AB24"/>
      <c r="AC24" s="771"/>
      <c r="AD24" s="1425" t="s">
        <v>384</v>
      </c>
      <c r="AE24" s="771"/>
      <c r="AF24" s="771"/>
      <c r="AG24" s="771"/>
      <c r="AH24" s="771"/>
      <c r="AI24" s="771"/>
      <c r="AJ24" s="771"/>
      <c r="AK24" s="771"/>
      <c r="AL24" s="771"/>
      <c r="AM24" s="771"/>
      <c r="AN24" s="771"/>
      <c r="AO24" s="771"/>
      <c r="AP24" s="771"/>
    </row>
    <row r="25" spans="1:44" ht="16.5" customHeight="1" thickBot="1" x14ac:dyDescent="0.3">
      <c r="A25" s="766"/>
      <c r="B25" s="2563" t="s">
        <v>282</v>
      </c>
      <c r="C25" s="2564" t="s">
        <v>913</v>
      </c>
      <c r="D25" s="3291"/>
      <c r="E25" s="3297"/>
      <c r="F25" s="2999" t="s">
        <v>282</v>
      </c>
      <c r="G25" s="2565" t="s">
        <v>914</v>
      </c>
      <c r="H25" s="2566">
        <v>0.7</v>
      </c>
      <c r="I25" s="2567">
        <v>1</v>
      </c>
      <c r="J25" s="2568">
        <v>1.5</v>
      </c>
      <c r="K25" s="3291"/>
      <c r="L25" s="2569" t="s">
        <v>161</v>
      </c>
      <c r="M25" s="2570" t="s">
        <v>154</v>
      </c>
      <c r="N25" s="770"/>
      <c r="O25" s="2553"/>
      <c r="P25" s="461"/>
      <c r="Q25" s="438"/>
      <c r="R25" s="434"/>
      <c r="S25" s="434"/>
      <c r="T25" s="434"/>
      <c r="U25" s="434"/>
      <c r="V25" s="434"/>
      <c r="W25" s="434"/>
      <c r="X25" s="771"/>
      <c r="Y25" s="771"/>
      <c r="Z25" s="771"/>
      <c r="AD25" s="1426" t="s">
        <v>385</v>
      </c>
      <c r="AE25" s="771"/>
      <c r="AF25" s="771"/>
      <c r="AG25" s="771"/>
      <c r="AH25" s="771"/>
      <c r="AI25" s="771"/>
      <c r="AJ25" s="771"/>
      <c r="AK25" s="771"/>
      <c r="AL25" s="771"/>
      <c r="AM25" s="771"/>
      <c r="AN25" s="771"/>
      <c r="AO25" s="771"/>
      <c r="AP25" s="771"/>
    </row>
    <row r="26" spans="1:44" ht="17.350000000000001" customHeight="1" x14ac:dyDescent="0.2">
      <c r="A26" s="766"/>
      <c r="B26" s="2571">
        <v>1</v>
      </c>
      <c r="C26" s="1751" t="s">
        <v>1269</v>
      </c>
      <c r="D26" s="1750" t="s">
        <v>5</v>
      </c>
      <c r="E26" s="1752">
        <v>12</v>
      </c>
      <c r="F26" s="1755">
        <v>2</v>
      </c>
      <c r="G26" s="1754">
        <f>IF(F26=0,0,VLOOKUP(Arbeitsgänge!F26,$B$13:$M$19,3))</f>
        <v>120</v>
      </c>
      <c r="H26" s="1753"/>
      <c r="I26" s="1427" t="s">
        <v>28</v>
      </c>
      <c r="J26" s="1428"/>
      <c r="K26" s="1419">
        <f>IF(I26="x",VLOOKUP(F26,$B$13:$M$19,10,FALSE),IF(H26="x",VLOOKUP(F26,$B$13:$M$19,8,FALSE),IF(J26="x",VLOOKUP(F26,$B$13:$M$19,12,FALSE),0)))</f>
        <v>19.310447058823527</v>
      </c>
      <c r="L26" s="1418">
        <v>1.42</v>
      </c>
      <c r="M26" s="1420">
        <f t="shared" ref="M26:M34" si="3">(K26*L26+E26)*(100+$F$6)*0.01</f>
        <v>46.910793439999992</v>
      </c>
      <c r="N26" s="435"/>
      <c r="O26" s="3079" t="s">
        <v>1304</v>
      </c>
      <c r="P26" s="461"/>
      <c r="Q26" s="2797" t="s">
        <v>1060</v>
      </c>
      <c r="R26" s="2786" t="s">
        <v>1061</v>
      </c>
      <c r="S26" s="2793"/>
      <c r="T26" s="2786"/>
      <c r="U26" s="2796" t="s">
        <v>1062</v>
      </c>
      <c r="V26" s="2793"/>
      <c r="W26" s="2793"/>
      <c r="X26" s="2794"/>
      <c r="Y26" s="771"/>
      <c r="Z26" s="771"/>
      <c r="AD26" s="1424"/>
      <c r="AE26" s="771"/>
      <c r="AF26" s="771"/>
      <c r="AG26" s="771"/>
      <c r="AH26" s="771"/>
      <c r="AI26" s="771"/>
      <c r="AJ26" s="771"/>
      <c r="AK26" s="771"/>
      <c r="AL26" s="771"/>
      <c r="AM26" s="771"/>
      <c r="AN26" s="771"/>
      <c r="AO26" s="771"/>
      <c r="AP26" s="771"/>
    </row>
    <row r="27" spans="1:44" s="435" customFormat="1" ht="18" customHeight="1" x14ac:dyDescent="0.2">
      <c r="B27" s="2571">
        <f>B26+1</f>
        <v>2</v>
      </c>
      <c r="C27" s="1751" t="s">
        <v>343</v>
      </c>
      <c r="D27" s="1750" t="s">
        <v>5</v>
      </c>
      <c r="E27" s="1752">
        <v>5</v>
      </c>
      <c r="F27" s="1755">
        <v>3</v>
      </c>
      <c r="G27" s="1754">
        <f>IF(F27=0,0,VLOOKUP(Arbeitsgänge!F27,$B$13:$M$19,3))</f>
        <v>102</v>
      </c>
      <c r="H27" s="1753"/>
      <c r="I27" s="1427"/>
      <c r="J27" s="1428" t="s">
        <v>28</v>
      </c>
      <c r="K27" s="1419">
        <f t="shared" ref="K27:K35" si="4">IF(I27="x",VLOOKUP(F27,$B$13:$M$19,10,FALSE),IF(H27="x",VLOOKUP(F27,$B$13:$M$19,8,FALSE),IF(J27="x",VLOOKUP(F27,$B$13:$M$19,12,FALSE),0)))</f>
        <v>21.965820000000001</v>
      </c>
      <c r="L27" s="1418">
        <v>0.78</v>
      </c>
      <c r="M27" s="1420">
        <f t="shared" si="3"/>
        <v>26.338674124000004</v>
      </c>
      <c r="N27" s="775"/>
      <c r="O27" s="3079" t="s">
        <v>1305</v>
      </c>
      <c r="P27" s="461"/>
      <c r="Q27" s="2797" t="s">
        <v>1063</v>
      </c>
      <c r="R27" s="2786" t="s">
        <v>1064</v>
      </c>
      <c r="S27" s="2793"/>
      <c r="T27" s="2786"/>
      <c r="U27" s="2796" t="s">
        <v>1065</v>
      </c>
      <c r="V27" s="2793"/>
      <c r="W27" s="2793"/>
      <c r="X27" s="2794"/>
      <c r="AA27" s="1422">
        <f t="shared" ref="AA27:AA47" si="5">IF(I27="x",1,0)</f>
        <v>0</v>
      </c>
      <c r="AB27" s="1422">
        <f t="shared" ref="AB27:AB47" si="6">IF(J27="x",1,0)</f>
        <v>1</v>
      </c>
      <c r="AC27" s="1422">
        <f t="shared" ref="AC27:AC47" si="7">IF(K27="x",1,0)</f>
        <v>0</v>
      </c>
      <c r="AD27" s="1423">
        <f>SUM(AA27:AC27)</f>
        <v>1</v>
      </c>
    </row>
    <row r="28" spans="1:44" s="775" customFormat="1" ht="18" customHeight="1" x14ac:dyDescent="0.2">
      <c r="B28" s="2571">
        <f t="shared" ref="B28:B76" si="8">B27+1</f>
        <v>3</v>
      </c>
      <c r="C28" s="1751" t="s">
        <v>73</v>
      </c>
      <c r="D28" s="1750" t="s">
        <v>5</v>
      </c>
      <c r="E28" s="1752">
        <v>7</v>
      </c>
      <c r="F28" s="1755">
        <v>3</v>
      </c>
      <c r="G28" s="1754">
        <f>IF(F28=0,0,VLOOKUP(Arbeitsgänge!F28,$B$13:$M$19,3))</f>
        <v>102</v>
      </c>
      <c r="H28" s="1753"/>
      <c r="I28" s="1427" t="s">
        <v>28</v>
      </c>
      <c r="J28" s="1428"/>
      <c r="K28" s="1419">
        <f t="shared" si="4"/>
        <v>17.243880000000001</v>
      </c>
      <c r="L28" s="1418">
        <v>1.01</v>
      </c>
      <c r="M28" s="1420">
        <f t="shared" si="3"/>
        <v>29.055419372000003</v>
      </c>
      <c r="O28" s="3079" t="s">
        <v>1306</v>
      </c>
      <c r="P28" s="461"/>
      <c r="Q28" s="2797" t="s">
        <v>1066</v>
      </c>
      <c r="R28" s="2786" t="s">
        <v>1067</v>
      </c>
      <c r="S28" s="2793"/>
      <c r="T28" s="2786"/>
      <c r="U28" s="2796" t="s">
        <v>73</v>
      </c>
      <c r="V28" s="2793"/>
      <c r="W28" s="2793"/>
      <c r="X28" s="2794"/>
      <c r="Y28"/>
      <c r="AA28" s="1422">
        <f t="shared" si="5"/>
        <v>1</v>
      </c>
      <c r="AB28" s="1422">
        <f t="shared" si="6"/>
        <v>0</v>
      </c>
      <c r="AC28" s="1422">
        <f t="shared" si="7"/>
        <v>0</v>
      </c>
      <c r="AD28" s="1423">
        <f t="shared" ref="AD28:AD78" si="9">SUM(AA28:AC28)</f>
        <v>1</v>
      </c>
    </row>
    <row r="29" spans="1:44" s="775" customFormat="1" ht="18" customHeight="1" x14ac:dyDescent="0.2">
      <c r="B29" s="2571">
        <f t="shared" si="8"/>
        <v>4</v>
      </c>
      <c r="C29" s="1751" t="s">
        <v>1057</v>
      </c>
      <c r="D29" s="1750" t="s">
        <v>5</v>
      </c>
      <c r="E29" s="1752">
        <v>4</v>
      </c>
      <c r="F29" s="1755">
        <v>4</v>
      </c>
      <c r="G29" s="1754">
        <f>IF(F29=0,0,VLOOKUP(Arbeitsgänge!F29,$B$13:$M$19,3))</f>
        <v>83</v>
      </c>
      <c r="H29" s="1753"/>
      <c r="I29" s="1427" t="s">
        <v>28</v>
      </c>
      <c r="J29" s="1428"/>
      <c r="K29" s="1419">
        <f t="shared" si="4"/>
        <v>14.997952605042016</v>
      </c>
      <c r="L29" s="1418">
        <v>0.56999999999999995</v>
      </c>
      <c r="M29" s="1420">
        <f t="shared" si="3"/>
        <v>14.933111252</v>
      </c>
      <c r="N29"/>
      <c r="O29" s="3079" t="s">
        <v>1307</v>
      </c>
      <c r="P29" s="461"/>
      <c r="Q29" s="2797" t="s">
        <v>1068</v>
      </c>
      <c r="R29" s="2786" t="s">
        <v>1069</v>
      </c>
      <c r="S29" s="2793"/>
      <c r="T29" s="2786"/>
      <c r="U29" s="2796" t="s">
        <v>1070</v>
      </c>
      <c r="V29" s="2793"/>
      <c r="W29" s="2793"/>
      <c r="X29" s="2794"/>
      <c r="Y29"/>
      <c r="AA29" s="1422">
        <f t="shared" si="5"/>
        <v>1</v>
      </c>
      <c r="AB29" s="1422">
        <f t="shared" si="6"/>
        <v>0</v>
      </c>
      <c r="AC29" s="1422">
        <f t="shared" si="7"/>
        <v>0</v>
      </c>
      <c r="AD29" s="1423">
        <f t="shared" si="9"/>
        <v>1</v>
      </c>
    </row>
    <row r="30" spans="1:44" s="775" customFormat="1" ht="18" customHeight="1" x14ac:dyDescent="0.25">
      <c r="B30" s="2571">
        <f t="shared" si="8"/>
        <v>5</v>
      </c>
      <c r="C30" s="1751" t="s">
        <v>1058</v>
      </c>
      <c r="D30" s="1750" t="s">
        <v>5</v>
      </c>
      <c r="E30" s="1752">
        <v>5</v>
      </c>
      <c r="F30" s="1755">
        <v>4</v>
      </c>
      <c r="G30" s="1754">
        <f>IF(F30=0,0,VLOOKUP(Arbeitsgänge!F30,$B$13:$M$19,3))</f>
        <v>83</v>
      </c>
      <c r="H30" s="1753"/>
      <c r="I30" s="1427" t="s">
        <v>28</v>
      </c>
      <c r="J30" s="1428"/>
      <c r="K30" s="1419">
        <f t="shared" si="4"/>
        <v>14.997952605042016</v>
      </c>
      <c r="L30" s="1418">
        <v>0.64</v>
      </c>
      <c r="M30" s="1420">
        <f t="shared" si="3"/>
        <v>17.372440704000002</v>
      </c>
      <c r="N30"/>
      <c r="O30" s="2789" t="s">
        <v>1319</v>
      </c>
      <c r="P30" s="461"/>
      <c r="Q30" s="2797" t="s">
        <v>1071</v>
      </c>
      <c r="R30" s="2786" t="s">
        <v>1072</v>
      </c>
      <c r="S30" s="2793"/>
      <c r="T30" s="2786"/>
      <c r="U30" s="2796" t="s">
        <v>1073</v>
      </c>
      <c r="V30" s="2793"/>
      <c r="W30" s="2793"/>
      <c r="X30" s="2794"/>
      <c r="Y30"/>
      <c r="AA30" s="1422">
        <f t="shared" si="5"/>
        <v>1</v>
      </c>
      <c r="AB30" s="1422">
        <f t="shared" si="6"/>
        <v>0</v>
      </c>
      <c r="AC30" s="1422">
        <f t="shared" si="7"/>
        <v>0</v>
      </c>
      <c r="AD30" s="1423">
        <f t="shared" si="9"/>
        <v>1</v>
      </c>
    </row>
    <row r="31" spans="1:44" s="436" customFormat="1" ht="18" customHeight="1" x14ac:dyDescent="0.2">
      <c r="B31" s="2571">
        <f t="shared" si="8"/>
        <v>6</v>
      </c>
      <c r="C31" s="1751" t="s">
        <v>230</v>
      </c>
      <c r="D31" s="1750" t="s">
        <v>5</v>
      </c>
      <c r="E31" s="1752">
        <v>5</v>
      </c>
      <c r="F31" s="1755">
        <v>3</v>
      </c>
      <c r="G31" s="1754">
        <f>IF(F31=0,0,VLOOKUP(Arbeitsgänge!F31,$B$13:$M$19,3))</f>
        <v>102</v>
      </c>
      <c r="H31" s="1753"/>
      <c r="I31" s="1427" t="s">
        <v>28</v>
      </c>
      <c r="J31" s="1428"/>
      <c r="K31" s="1419">
        <f t="shared" si="4"/>
        <v>17.243880000000001</v>
      </c>
      <c r="L31" s="1418">
        <v>0.76</v>
      </c>
      <c r="M31" s="1420">
        <f t="shared" si="3"/>
        <v>21.545365072000006</v>
      </c>
      <c r="N31"/>
      <c r="O31" s="3079" t="s">
        <v>1308</v>
      </c>
      <c r="P31" s="461"/>
      <c r="Q31" s="2797" t="s">
        <v>1074</v>
      </c>
      <c r="R31" s="2786" t="s">
        <v>1075</v>
      </c>
      <c r="S31" s="2786"/>
      <c r="T31" s="2786"/>
      <c r="U31" s="2796" t="s">
        <v>1076</v>
      </c>
      <c r="V31" s="2786"/>
      <c r="W31" s="2786"/>
      <c r="X31" s="2795"/>
      <c r="Y31"/>
      <c r="AA31" s="1422">
        <f t="shared" si="5"/>
        <v>1</v>
      </c>
      <c r="AB31" s="1422">
        <f t="shared" si="6"/>
        <v>0</v>
      </c>
      <c r="AC31" s="1422">
        <f t="shared" si="7"/>
        <v>0</v>
      </c>
      <c r="AD31" s="1423">
        <f t="shared" si="9"/>
        <v>1</v>
      </c>
    </row>
    <row r="32" spans="1:44" s="436" customFormat="1" ht="18" customHeight="1" x14ac:dyDescent="0.2">
      <c r="B32" s="2571">
        <f t="shared" si="8"/>
        <v>7</v>
      </c>
      <c r="C32" s="1751" t="s">
        <v>1059</v>
      </c>
      <c r="D32" s="1750" t="s">
        <v>5</v>
      </c>
      <c r="E32" s="1752">
        <v>1.5</v>
      </c>
      <c r="F32" s="1755">
        <v>6</v>
      </c>
      <c r="G32" s="1754">
        <f>IF(F32=0,0,VLOOKUP(Arbeitsgänge!F32,$B$13:$M$19,3))</f>
        <v>54</v>
      </c>
      <c r="H32" s="1753" t="s">
        <v>28</v>
      </c>
      <c r="I32" s="1427"/>
      <c r="J32" s="1428"/>
      <c r="K32" s="1419">
        <f t="shared" si="4"/>
        <v>9.6997908235294119</v>
      </c>
      <c r="L32" s="1418">
        <v>0.61</v>
      </c>
      <c r="M32" s="1420">
        <f t="shared" si="3"/>
        <v>8.8260781587999997</v>
      </c>
      <c r="N32" s="405"/>
      <c r="O32" s="3079" t="s">
        <v>1306</v>
      </c>
      <c r="Q32" s="2797" t="s">
        <v>1077</v>
      </c>
      <c r="R32" s="2786" t="s">
        <v>1078</v>
      </c>
      <c r="S32" s="2786"/>
      <c r="T32" s="2786"/>
      <c r="U32" s="2796" t="s">
        <v>1059</v>
      </c>
      <c r="V32" s="2786"/>
      <c r="W32" s="2786"/>
      <c r="X32" s="2795"/>
      <c r="Y32"/>
      <c r="AA32" s="1422">
        <f t="shared" si="5"/>
        <v>0</v>
      </c>
      <c r="AB32" s="1422">
        <f t="shared" si="6"/>
        <v>0</v>
      </c>
      <c r="AC32" s="1422">
        <f t="shared" si="7"/>
        <v>0</v>
      </c>
      <c r="AD32" s="1423">
        <f t="shared" si="9"/>
        <v>0</v>
      </c>
    </row>
    <row r="33" spans="2:30" s="436" customFormat="1" ht="18" customHeight="1" x14ac:dyDescent="0.2">
      <c r="B33" s="2571">
        <f t="shared" si="8"/>
        <v>8</v>
      </c>
      <c r="C33" s="1751" t="s">
        <v>74</v>
      </c>
      <c r="D33" s="1750" t="s">
        <v>5</v>
      </c>
      <c r="E33" s="1752">
        <v>9.5</v>
      </c>
      <c r="F33" s="1755">
        <v>4</v>
      </c>
      <c r="G33" s="1754">
        <f>IF(F33=0,0,VLOOKUP(Arbeitsgänge!F33,$B$13:$M$19,3))</f>
        <v>83</v>
      </c>
      <c r="H33" s="1753"/>
      <c r="I33" s="1427"/>
      <c r="J33" s="1428" t="s">
        <v>28</v>
      </c>
      <c r="K33" s="1419">
        <f t="shared" si="4"/>
        <v>18.846928907563022</v>
      </c>
      <c r="L33" s="1418">
        <v>1.03</v>
      </c>
      <c r="M33" s="1420">
        <f t="shared" si="3"/>
        <v>34.405680761999996</v>
      </c>
      <c r="N33" s="405"/>
      <c r="O33" s="3079" t="s">
        <v>1313</v>
      </c>
      <c r="P33" s="461"/>
      <c r="Q33" s="405"/>
      <c r="R33" s="405"/>
      <c r="S33"/>
      <c r="T33" s="765"/>
      <c r="U33" s="765"/>
      <c r="V33" s="765"/>
      <c r="W33" s="765"/>
      <c r="X33" s="765"/>
      <c r="Y33" s="765"/>
      <c r="AA33" s="1431">
        <f t="shared" si="5"/>
        <v>0</v>
      </c>
      <c r="AB33" s="1431">
        <f t="shared" si="6"/>
        <v>1</v>
      </c>
      <c r="AC33" s="1431">
        <f t="shared" si="7"/>
        <v>0</v>
      </c>
      <c r="AD33" s="1431">
        <f t="shared" si="9"/>
        <v>1</v>
      </c>
    </row>
    <row r="34" spans="2:30" s="436" customFormat="1" ht="18" customHeight="1" x14ac:dyDescent="0.2">
      <c r="B34" s="2571">
        <f t="shared" si="8"/>
        <v>9</v>
      </c>
      <c r="C34" s="1751" t="s">
        <v>1079</v>
      </c>
      <c r="D34" s="1750" t="s">
        <v>5</v>
      </c>
      <c r="E34" s="1752">
        <v>14.5</v>
      </c>
      <c r="F34" s="1755">
        <v>2</v>
      </c>
      <c r="G34" s="1754">
        <f>IF(F34=0,0,VLOOKUP(Arbeitsgänge!F34,$B$13:$M$19,3))</f>
        <v>120</v>
      </c>
      <c r="H34" s="1753"/>
      <c r="I34" s="1427" t="s">
        <v>28</v>
      </c>
      <c r="J34" s="1428"/>
      <c r="K34" s="1419">
        <f t="shared" si="4"/>
        <v>19.310447058823527</v>
      </c>
      <c r="L34" s="1418">
        <v>1.1399999999999999</v>
      </c>
      <c r="M34" s="1420">
        <f t="shared" si="3"/>
        <v>43.451552480000004</v>
      </c>
      <c r="N34"/>
      <c r="O34" s="3079" t="s">
        <v>1311</v>
      </c>
      <c r="P34" s="461"/>
      <c r="Q34"/>
      <c r="R34" s="405"/>
      <c r="S34"/>
      <c r="T34"/>
      <c r="U34"/>
      <c r="V34"/>
      <c r="W34"/>
      <c r="X34"/>
      <c r="Y34"/>
      <c r="AA34" s="1422">
        <f t="shared" si="5"/>
        <v>1</v>
      </c>
      <c r="AB34" s="1422">
        <f t="shared" si="6"/>
        <v>0</v>
      </c>
      <c r="AC34" s="1422">
        <f t="shared" si="7"/>
        <v>0</v>
      </c>
      <c r="AD34" s="1423">
        <f t="shared" si="9"/>
        <v>1</v>
      </c>
    </row>
    <row r="35" spans="2:30" s="436" customFormat="1" ht="18" customHeight="1" x14ac:dyDescent="0.2">
      <c r="B35" s="2571">
        <f t="shared" si="8"/>
        <v>10</v>
      </c>
      <c r="C35" s="1751" t="s">
        <v>75</v>
      </c>
      <c r="D35" s="1750" t="s">
        <v>5</v>
      </c>
      <c r="E35" s="1752">
        <v>2.5</v>
      </c>
      <c r="F35" s="1755">
        <v>7</v>
      </c>
      <c r="G35" s="1754">
        <f>IF(F35=0,0,VLOOKUP(Arbeitsgänge!F35,$B$13:$M$19,3))</f>
        <v>45</v>
      </c>
      <c r="H35" s="1753"/>
      <c r="I35" s="1427" t="s">
        <v>28</v>
      </c>
      <c r="J35" s="1428"/>
      <c r="K35" s="1419">
        <f t="shared" si="4"/>
        <v>9.9060978151260493</v>
      </c>
      <c r="L35" s="1418">
        <v>0.81</v>
      </c>
      <c r="M35" s="1420">
        <f t="shared" ref="M35:M77" si="10">(K35*L35+E35)*(100+$F$6)*0.01</f>
        <v>12.523487683999999</v>
      </c>
      <c r="N35"/>
      <c r="O35" s="3079" t="s">
        <v>1310</v>
      </c>
      <c r="P35" s="461"/>
      <c r="Q35"/>
      <c r="R35"/>
      <c r="S35"/>
      <c r="T35"/>
      <c r="U35"/>
      <c r="V35"/>
      <c r="W35"/>
      <c r="X35"/>
      <c r="Y35"/>
      <c r="AA35" s="1422">
        <f t="shared" si="5"/>
        <v>1</v>
      </c>
      <c r="AB35" s="1422">
        <f t="shared" si="6"/>
        <v>0</v>
      </c>
      <c r="AC35" s="1422">
        <f t="shared" si="7"/>
        <v>0</v>
      </c>
      <c r="AD35" s="1423">
        <f t="shared" si="9"/>
        <v>1</v>
      </c>
    </row>
    <row r="36" spans="2:30" s="436" customFormat="1" ht="18" customHeight="1" x14ac:dyDescent="0.2">
      <c r="B36" s="2571">
        <f t="shared" si="8"/>
        <v>11</v>
      </c>
      <c r="C36" s="1751" t="s">
        <v>915</v>
      </c>
      <c r="D36" s="1750" t="s">
        <v>5</v>
      </c>
      <c r="E36" s="1752">
        <v>8</v>
      </c>
      <c r="F36" s="1755">
        <v>7</v>
      </c>
      <c r="G36" s="1754">
        <f>IF(F36=0,0,VLOOKUP(Arbeitsgänge!F36,$B$13:$M$19,3))</f>
        <v>45</v>
      </c>
      <c r="H36" s="1753" t="s">
        <v>28</v>
      </c>
      <c r="I36" s="1427"/>
      <c r="J36" s="1428"/>
      <c r="K36" s="1419">
        <f>IF(I36="x",VLOOKUP(F36,$B$13:$M$19,10,FALSE),IF(H36="x",VLOOKUP(F36,$B$13:$M$19,8,FALSE),IF(J36="x",VLOOKUP(F36,$B$13:$M$19,12,FALSE),0)))</f>
        <v>8.6442684705882353</v>
      </c>
      <c r="L36" s="1418">
        <v>0.8</v>
      </c>
      <c r="M36" s="1420">
        <f t="shared" si="10"/>
        <v>17.749343583999998</v>
      </c>
      <c r="N36"/>
      <c r="O36" s="3079" t="s">
        <v>1309</v>
      </c>
      <c r="P36" s="461"/>
      <c r="Q36"/>
      <c r="R36"/>
      <c r="S36"/>
      <c r="T36"/>
      <c r="U36"/>
      <c r="V36"/>
      <c r="W36"/>
      <c r="X36"/>
      <c r="Y36"/>
      <c r="AA36" s="1422">
        <f t="shared" si="5"/>
        <v>0</v>
      </c>
      <c r="AB36" s="1422">
        <f t="shared" si="6"/>
        <v>0</v>
      </c>
      <c r="AC36" s="1422">
        <f t="shared" si="7"/>
        <v>0</v>
      </c>
      <c r="AD36" s="1423">
        <f t="shared" si="9"/>
        <v>0</v>
      </c>
    </row>
    <row r="37" spans="2:30" s="436" customFormat="1" ht="18" customHeight="1" x14ac:dyDescent="0.2">
      <c r="B37" s="2571">
        <f t="shared" si="8"/>
        <v>12</v>
      </c>
      <c r="C37" s="1751" t="s">
        <v>461</v>
      </c>
      <c r="D37" s="1750" t="s">
        <v>5</v>
      </c>
      <c r="E37" s="1752">
        <v>12</v>
      </c>
      <c r="F37" s="1755">
        <v>3</v>
      </c>
      <c r="G37" s="1754">
        <f>IF(F37=0,0,VLOOKUP(Arbeitsgänge!F37,$B$13:$M$19,3))</f>
        <v>102</v>
      </c>
      <c r="H37" s="1753"/>
      <c r="I37" s="1427" t="s">
        <v>28</v>
      </c>
      <c r="J37" s="1428"/>
      <c r="K37" s="1419">
        <f t="shared" ref="K37:K74" si="11">IF(I37="x",VLOOKUP(F37,$B$13:$M$19,10,FALSE),IF(H37="x",VLOOKUP(F37,$B$13:$M$19,8,FALSE),IF(J37="x",VLOOKUP(F37,$B$13:$M$19,12,FALSE),0)))</f>
        <v>17.243880000000001</v>
      </c>
      <c r="L37" s="1418">
        <v>0.7</v>
      </c>
      <c r="M37" s="1420">
        <f t="shared" si="10"/>
        <v>28.644152039999998</v>
      </c>
      <c r="N37"/>
      <c r="O37" s="3079" t="s">
        <v>1312</v>
      </c>
      <c r="P37" s="461"/>
      <c r="Q37"/>
      <c r="R37"/>
      <c r="S37"/>
      <c r="T37"/>
      <c r="U37"/>
      <c r="V37"/>
      <c r="W37"/>
      <c r="X37"/>
      <c r="Y37"/>
      <c r="AA37" s="1422">
        <f t="shared" si="5"/>
        <v>1</v>
      </c>
      <c r="AB37" s="1422">
        <f t="shared" si="6"/>
        <v>0</v>
      </c>
      <c r="AC37" s="1422">
        <f t="shared" si="7"/>
        <v>0</v>
      </c>
      <c r="AD37" s="1423">
        <f t="shared" si="9"/>
        <v>1</v>
      </c>
    </row>
    <row r="38" spans="2:30" s="436" customFormat="1" ht="18" customHeight="1" x14ac:dyDescent="0.25">
      <c r="B38" s="2571">
        <f t="shared" si="8"/>
        <v>13</v>
      </c>
      <c r="C38" s="1751" t="s">
        <v>706</v>
      </c>
      <c r="D38" s="1750" t="s">
        <v>5</v>
      </c>
      <c r="E38" s="1752">
        <f>1+2</f>
        <v>3</v>
      </c>
      <c r="F38" s="1755">
        <v>6</v>
      </c>
      <c r="G38" s="1754">
        <f>IF(F38=0,0,VLOOKUP(Arbeitsgänge!F38,$B$13:$M$19,3))</f>
        <v>54</v>
      </c>
      <c r="H38" s="1753" t="s">
        <v>28</v>
      </c>
      <c r="I38" s="1427"/>
      <c r="J38" s="1428"/>
      <c r="K38" s="1419">
        <f t="shared" si="11"/>
        <v>9.6997908235294119</v>
      </c>
      <c r="L38" s="1418">
        <v>0.56999999999999995</v>
      </c>
      <c r="M38" s="1420">
        <f t="shared" si="10"/>
        <v>10.1493681156</v>
      </c>
      <c r="N38" s="405"/>
      <c r="O38" s="2553" t="s">
        <v>1354</v>
      </c>
      <c r="P38" s="461"/>
      <c r="Q38"/>
      <c r="R38"/>
      <c r="S38"/>
      <c r="T38"/>
      <c r="U38"/>
      <c r="V38"/>
      <c r="W38"/>
      <c r="X38"/>
      <c r="Y38"/>
      <c r="AA38" s="1422">
        <f t="shared" si="5"/>
        <v>0</v>
      </c>
      <c r="AB38" s="1422">
        <f t="shared" si="6"/>
        <v>0</v>
      </c>
      <c r="AC38" s="1422">
        <f t="shared" si="7"/>
        <v>0</v>
      </c>
      <c r="AD38" s="1423">
        <f t="shared" si="9"/>
        <v>0</v>
      </c>
    </row>
    <row r="39" spans="2:30" s="436" customFormat="1" ht="18" customHeight="1" x14ac:dyDescent="0.25">
      <c r="B39" s="2571">
        <f t="shared" si="8"/>
        <v>14</v>
      </c>
      <c r="C39" s="1751" t="s">
        <v>626</v>
      </c>
      <c r="D39" s="1750" t="s">
        <v>5</v>
      </c>
      <c r="E39" s="1752">
        <v>2</v>
      </c>
      <c r="F39" s="1755">
        <v>4</v>
      </c>
      <c r="G39" s="1754">
        <f>IF(F39=0,0,VLOOKUP(Arbeitsgänge!F39,$B$13:$M$19,3))</f>
        <v>83</v>
      </c>
      <c r="H39" s="1753"/>
      <c r="I39" s="1427" t="s">
        <v>28</v>
      </c>
      <c r="J39" s="1428"/>
      <c r="K39" s="1419">
        <f t="shared" si="11"/>
        <v>14.997952605042016</v>
      </c>
      <c r="L39" s="1418">
        <v>0.27</v>
      </c>
      <c r="M39" s="1420">
        <f t="shared" si="10"/>
        <v>7.198842172</v>
      </c>
      <c r="N39" s="405"/>
      <c r="O39" s="2553" t="s">
        <v>1352</v>
      </c>
      <c r="P39" s="461"/>
      <c r="Q39" s="405"/>
      <c r="R39"/>
      <c r="S39"/>
      <c r="T39" s="2193"/>
      <c r="U39"/>
      <c r="V39"/>
      <c r="W39"/>
      <c r="X39"/>
      <c r="Y39"/>
      <c r="AA39" s="1422">
        <f t="shared" si="5"/>
        <v>1</v>
      </c>
      <c r="AB39" s="1422">
        <f t="shared" si="6"/>
        <v>0</v>
      </c>
      <c r="AC39" s="1422">
        <f t="shared" si="7"/>
        <v>0</v>
      </c>
      <c r="AD39" s="1423">
        <f t="shared" si="9"/>
        <v>1</v>
      </c>
    </row>
    <row r="40" spans="2:30" s="436" customFormat="1" ht="18" customHeight="1" x14ac:dyDescent="0.25">
      <c r="B40" s="2571">
        <f t="shared" si="8"/>
        <v>15</v>
      </c>
      <c r="C40" s="1751" t="s">
        <v>916</v>
      </c>
      <c r="D40" s="1750" t="s">
        <v>5</v>
      </c>
      <c r="E40" s="1752">
        <v>3</v>
      </c>
      <c r="F40" s="1755">
        <v>7</v>
      </c>
      <c r="G40" s="1754">
        <f>IF(F40=0,0,VLOOKUP(Arbeitsgänge!F40,$B$13:$M$19,3))</f>
        <v>45</v>
      </c>
      <c r="H40" s="1753" t="s">
        <v>28</v>
      </c>
      <c r="I40" s="1427"/>
      <c r="J40" s="1428"/>
      <c r="K40" s="1419">
        <f t="shared" si="11"/>
        <v>8.6442684705882353</v>
      </c>
      <c r="L40" s="1418">
        <v>1.1100000000000001</v>
      </c>
      <c r="M40" s="1420">
        <f t="shared" si="10"/>
        <v>14.9882142228</v>
      </c>
      <c r="N40"/>
      <c r="O40" s="2553" t="s">
        <v>1353</v>
      </c>
      <c r="P40" s="461"/>
      <c r="Q40"/>
      <c r="R40" s="2572"/>
      <c r="S40"/>
      <c r="T40"/>
      <c r="U40"/>
      <c r="V40"/>
      <c r="W40"/>
      <c r="X40"/>
      <c r="Y40"/>
      <c r="AA40" s="1422">
        <f t="shared" si="5"/>
        <v>0</v>
      </c>
      <c r="AB40" s="1422">
        <f t="shared" si="6"/>
        <v>0</v>
      </c>
      <c r="AC40" s="1422">
        <f t="shared" si="7"/>
        <v>0</v>
      </c>
      <c r="AD40" s="1423">
        <f t="shared" si="9"/>
        <v>0</v>
      </c>
    </row>
    <row r="41" spans="2:30" s="436" customFormat="1" ht="18" customHeight="1" x14ac:dyDescent="0.2">
      <c r="B41" s="2571">
        <f t="shared" si="8"/>
        <v>16</v>
      </c>
      <c r="C41" s="1751" t="s">
        <v>917</v>
      </c>
      <c r="D41" s="1750" t="s">
        <v>5</v>
      </c>
      <c r="E41" s="1752">
        <v>0.15</v>
      </c>
      <c r="F41" s="1755">
        <v>7</v>
      </c>
      <c r="G41" s="1754">
        <f>IF(F41=0,0,VLOOKUP(Arbeitsgänge!F41,$B$13:$M$19,3))</f>
        <v>45</v>
      </c>
      <c r="H41" s="1753" t="s">
        <v>28</v>
      </c>
      <c r="I41" s="1427"/>
      <c r="J41" s="1428"/>
      <c r="K41" s="1419">
        <f t="shared" si="11"/>
        <v>8.6442684705882353</v>
      </c>
      <c r="L41" s="1418">
        <v>0.15</v>
      </c>
      <c r="M41" s="1420">
        <f t="shared" si="10"/>
        <v>1.7215019219999996</v>
      </c>
      <c r="N41"/>
      <c r="O41" s="3079" t="s">
        <v>1314</v>
      </c>
      <c r="P41" s="461"/>
      <c r="Q41"/>
      <c r="R41"/>
      <c r="S41"/>
      <c r="T41"/>
      <c r="U41"/>
      <c r="V41"/>
      <c r="W41"/>
      <c r="X41"/>
      <c r="Y41"/>
      <c r="AA41" s="1422">
        <f t="shared" si="5"/>
        <v>0</v>
      </c>
      <c r="AB41" s="1422">
        <f t="shared" si="6"/>
        <v>0</v>
      </c>
      <c r="AC41" s="1422">
        <f t="shared" si="7"/>
        <v>0</v>
      </c>
      <c r="AD41" s="1423">
        <f t="shared" si="9"/>
        <v>0</v>
      </c>
    </row>
    <row r="42" spans="2:30" s="436" customFormat="1" ht="18" customHeight="1" x14ac:dyDescent="0.25">
      <c r="B42" s="2571">
        <f t="shared" si="8"/>
        <v>17</v>
      </c>
      <c r="C42" s="1751" t="s">
        <v>611</v>
      </c>
      <c r="D42" s="1750" t="s">
        <v>5</v>
      </c>
      <c r="E42" s="1752">
        <v>0.01</v>
      </c>
      <c r="F42" s="1755"/>
      <c r="G42" s="1754">
        <f>IF(F42=0,0,VLOOKUP(Arbeitsgänge!F42,$B$13:$M$19,3))</f>
        <v>0</v>
      </c>
      <c r="H42" s="1753"/>
      <c r="I42" s="1427"/>
      <c r="J42" s="1428"/>
      <c r="K42" s="1419">
        <f t="shared" si="11"/>
        <v>0</v>
      </c>
      <c r="L42" s="1418">
        <v>0.3</v>
      </c>
      <c r="M42" s="1420">
        <f t="shared" si="10"/>
        <v>1.1899999999999999E-2</v>
      </c>
      <c r="N42"/>
      <c r="O42" s="2553" t="s">
        <v>918</v>
      </c>
      <c r="P42" s="461"/>
      <c r="Q42" s="405" t="s">
        <v>111</v>
      </c>
      <c r="R42"/>
      <c r="S42"/>
      <c r="T42"/>
      <c r="U42"/>
      <c r="V42"/>
      <c r="W42"/>
      <c r="X42"/>
      <c r="Y42"/>
      <c r="AA42" s="1422">
        <f t="shared" si="5"/>
        <v>0</v>
      </c>
      <c r="AB42" s="1422">
        <f t="shared" si="6"/>
        <v>0</v>
      </c>
      <c r="AC42" s="1422">
        <f t="shared" si="7"/>
        <v>0</v>
      </c>
      <c r="AD42" s="1423">
        <f t="shared" si="9"/>
        <v>0</v>
      </c>
    </row>
    <row r="43" spans="2:30" s="436" customFormat="1" ht="18" customHeight="1" x14ac:dyDescent="0.25">
      <c r="B43" s="2571">
        <f t="shared" si="8"/>
        <v>18</v>
      </c>
      <c r="C43" s="1751" t="s">
        <v>1404</v>
      </c>
      <c r="D43" s="1750" t="s">
        <v>5</v>
      </c>
      <c r="E43" s="1752">
        <v>0.65</v>
      </c>
      <c r="F43" s="1755">
        <v>4</v>
      </c>
      <c r="G43" s="1754">
        <f>IF(F43=0,0,VLOOKUP(Arbeitsgänge!F43,$B$13:$M$19,3))</f>
        <v>83</v>
      </c>
      <c r="H43" s="1753" t="s">
        <v>28</v>
      </c>
      <c r="I43" s="1427"/>
      <c r="J43" s="1428"/>
      <c r="K43" s="1419">
        <f t="shared" si="11"/>
        <v>12.68856682352941</v>
      </c>
      <c r="L43" s="1418">
        <v>0.36</v>
      </c>
      <c r="M43" s="1420">
        <f t="shared" si="10"/>
        <v>6.2092820271999996</v>
      </c>
      <c r="N43"/>
      <c r="O43" s="2553" t="s">
        <v>1355</v>
      </c>
      <c r="P43" s="461"/>
      <c r="Q43"/>
      <c r="R43"/>
      <c r="S43" s="405"/>
      <c r="T43"/>
      <c r="U43"/>
      <c r="V43"/>
      <c r="W43"/>
      <c r="X43"/>
      <c r="Y43"/>
      <c r="AA43" s="1422">
        <f t="shared" si="5"/>
        <v>0</v>
      </c>
      <c r="AB43" s="1422">
        <f t="shared" si="6"/>
        <v>0</v>
      </c>
      <c r="AC43" s="1422">
        <f t="shared" si="7"/>
        <v>0</v>
      </c>
      <c r="AD43" s="1423">
        <f t="shared" si="9"/>
        <v>0</v>
      </c>
    </row>
    <row r="44" spans="2:30" s="436" customFormat="1" ht="18" customHeight="1" x14ac:dyDescent="0.25">
      <c r="B44" s="2571">
        <f t="shared" si="8"/>
        <v>19</v>
      </c>
      <c r="C44" s="1751" t="s">
        <v>285</v>
      </c>
      <c r="D44" s="1750" t="s">
        <v>5</v>
      </c>
      <c r="E44" s="1752">
        <v>0.2</v>
      </c>
      <c r="F44" s="1755">
        <v>7</v>
      </c>
      <c r="G44" s="1754">
        <f>IF(F44=0,0,VLOOKUP(Arbeitsgänge!F44,$B$13:$M$19,3))</f>
        <v>45</v>
      </c>
      <c r="H44" s="1753"/>
      <c r="I44" s="1427" t="s">
        <v>28</v>
      </c>
      <c r="J44" s="1428"/>
      <c r="K44" s="1419">
        <f t="shared" si="11"/>
        <v>9.9060978151260493</v>
      </c>
      <c r="L44" s="1418">
        <v>0.86</v>
      </c>
      <c r="M44" s="1420">
        <f t="shared" si="10"/>
        <v>10.375900503999997</v>
      </c>
      <c r="N44" s="2573"/>
      <c r="O44" s="2553" t="s">
        <v>1320</v>
      </c>
      <c r="P44" s="461"/>
      <c r="Q44"/>
      <c r="R44"/>
      <c r="S44"/>
      <c r="T44"/>
      <c r="U44" s="765"/>
      <c r="V44" s="765"/>
      <c r="W44" s="765"/>
      <c r="X44" s="765"/>
      <c r="Y44" s="765"/>
      <c r="AA44" s="1941">
        <f t="shared" si="5"/>
        <v>1</v>
      </c>
      <c r="AB44" s="1941">
        <f t="shared" si="6"/>
        <v>0</v>
      </c>
      <c r="AC44" s="1941">
        <f t="shared" si="7"/>
        <v>0</v>
      </c>
      <c r="AD44" s="1942">
        <f t="shared" si="9"/>
        <v>1</v>
      </c>
    </row>
    <row r="45" spans="2:30" s="436" customFormat="1" ht="18" customHeight="1" x14ac:dyDescent="0.25">
      <c r="B45" s="2571">
        <f t="shared" si="8"/>
        <v>20</v>
      </c>
      <c r="C45" s="1751" t="s">
        <v>338</v>
      </c>
      <c r="D45" s="1750" t="s">
        <v>5</v>
      </c>
      <c r="E45" s="1752">
        <v>2.2000000000000002</v>
      </c>
      <c r="F45" s="1755">
        <v>6</v>
      </c>
      <c r="G45" s="1754">
        <f>IF(F45=0,0,VLOOKUP(Arbeitsgänge!F45,$B$13:$M$19,3))</f>
        <v>54</v>
      </c>
      <c r="H45" s="1753" t="s">
        <v>28</v>
      </c>
      <c r="I45" s="1427"/>
      <c r="J45" s="1428"/>
      <c r="K45" s="1419">
        <f t="shared" si="11"/>
        <v>9.6997908235294119</v>
      </c>
      <c r="L45" s="1418">
        <v>0.48</v>
      </c>
      <c r="M45" s="1420">
        <f t="shared" si="10"/>
        <v>8.1585205184000014</v>
      </c>
      <c r="N45" s="405"/>
      <c r="O45" s="2553" t="s">
        <v>1333</v>
      </c>
      <c r="P45" s="461"/>
      <c r="Q45"/>
      <c r="R45"/>
      <c r="S45"/>
      <c r="T45"/>
      <c r="U45"/>
      <c r="V45"/>
      <c r="W45"/>
      <c r="X45"/>
      <c r="Y45"/>
      <c r="AA45" s="1422">
        <f t="shared" si="5"/>
        <v>0</v>
      </c>
      <c r="AB45" s="1422">
        <f t="shared" si="6"/>
        <v>0</v>
      </c>
      <c r="AC45" s="1422">
        <f t="shared" si="7"/>
        <v>0</v>
      </c>
      <c r="AD45" s="1423">
        <f t="shared" si="9"/>
        <v>0</v>
      </c>
    </row>
    <row r="46" spans="2:30" s="436" customFormat="1" ht="18" customHeight="1" x14ac:dyDescent="0.25">
      <c r="B46" s="2571">
        <f>B45+1</f>
        <v>21</v>
      </c>
      <c r="C46" s="1751" t="s">
        <v>76</v>
      </c>
      <c r="D46" s="1750" t="s">
        <v>5</v>
      </c>
      <c r="E46" s="1752">
        <v>2.9</v>
      </c>
      <c r="F46" s="1755">
        <v>6</v>
      </c>
      <c r="G46" s="1754">
        <f>IF(F46=0,0,VLOOKUP(Arbeitsgänge!F46,$B$13:$M$19,3))</f>
        <v>54</v>
      </c>
      <c r="H46" s="1753"/>
      <c r="I46" s="1427" t="s">
        <v>28</v>
      </c>
      <c r="J46" s="1428"/>
      <c r="K46" s="1419">
        <f t="shared" si="11"/>
        <v>11.199701176470588</v>
      </c>
      <c r="L46" s="1418">
        <v>1.2</v>
      </c>
      <c r="M46" s="1420">
        <f t="shared" si="10"/>
        <v>19.444173280000001</v>
      </c>
      <c r="N46" s="405"/>
      <c r="O46" s="2553" t="s">
        <v>1316</v>
      </c>
      <c r="P46" s="461"/>
      <c r="Q46"/>
      <c r="R46"/>
      <c r="S46"/>
      <c r="T46"/>
      <c r="U46"/>
      <c r="V46"/>
      <c r="W46"/>
      <c r="X46"/>
      <c r="Y46"/>
      <c r="AA46" s="1422">
        <f t="shared" si="5"/>
        <v>1</v>
      </c>
      <c r="AB46" s="1422">
        <f t="shared" si="6"/>
        <v>0</v>
      </c>
      <c r="AC46" s="1422">
        <f t="shared" si="7"/>
        <v>0</v>
      </c>
      <c r="AD46" s="1423">
        <f t="shared" si="9"/>
        <v>1</v>
      </c>
    </row>
    <row r="47" spans="2:30" s="78" customFormat="1" ht="18" customHeight="1" x14ac:dyDescent="0.25">
      <c r="B47" s="2571">
        <f t="shared" si="8"/>
        <v>22</v>
      </c>
      <c r="C47" s="1751" t="s">
        <v>409</v>
      </c>
      <c r="D47" s="1750" t="s">
        <v>5</v>
      </c>
      <c r="E47" s="1752"/>
      <c r="F47" s="1755"/>
      <c r="G47" s="1754">
        <f>IF(F47=0,0,VLOOKUP(Arbeitsgänge!F47,$B$13:$M$19,3))</f>
        <v>0</v>
      </c>
      <c r="H47" s="1753"/>
      <c r="I47" s="1427"/>
      <c r="J47" s="1428"/>
      <c r="K47" s="1419">
        <f t="shared" ref="K47" si="12">IF(I47="x",VLOOKUP(F47,$B$13:$M$19,10,FALSE),IF(H47="x",VLOOKUP(F47,$B$13:$M$19,8,FALSE),IF(J47="x",VLOOKUP(F47,$B$13:$M$19,12,FALSE),0)))</f>
        <v>0</v>
      </c>
      <c r="L47" s="1418">
        <v>10</v>
      </c>
      <c r="M47" s="1420">
        <f t="shared" ref="M47" si="13">(K47*L47+E47)*(100+$F$6)*0.01</f>
        <v>0</v>
      </c>
      <c r="N47" s="2573"/>
      <c r="O47" s="2789" t="s">
        <v>1252</v>
      </c>
      <c r="P47" s="461"/>
      <c r="Q47"/>
      <c r="R47"/>
      <c r="S47"/>
      <c r="T47"/>
      <c r="U47"/>
      <c r="V47"/>
      <c r="W47"/>
      <c r="X47"/>
      <c r="Y47"/>
      <c r="AA47" s="1422">
        <f t="shared" si="5"/>
        <v>0</v>
      </c>
      <c r="AB47" s="1422">
        <f t="shared" si="6"/>
        <v>0</v>
      </c>
      <c r="AC47" s="1422">
        <f t="shared" si="7"/>
        <v>0</v>
      </c>
      <c r="AD47" s="1423">
        <f t="shared" si="9"/>
        <v>0</v>
      </c>
    </row>
    <row r="48" spans="2:30" s="436" customFormat="1" ht="18" customHeight="1" x14ac:dyDescent="0.25">
      <c r="B48" s="2571">
        <f t="shared" si="8"/>
        <v>23</v>
      </c>
      <c r="C48" s="1751" t="s">
        <v>1256</v>
      </c>
      <c r="D48" s="1750" t="s">
        <v>5</v>
      </c>
      <c r="E48" s="1752"/>
      <c r="F48" s="1755"/>
      <c r="G48" s="1754">
        <f>IF(F48=0,0,VLOOKUP(Arbeitsgänge!F48,$B$13:$M$19,3))</f>
        <v>0</v>
      </c>
      <c r="H48" s="1753"/>
      <c r="I48" s="1427"/>
      <c r="J48" s="1428"/>
      <c r="K48" s="1419">
        <f t="shared" si="11"/>
        <v>0</v>
      </c>
      <c r="L48" s="1418">
        <v>12</v>
      </c>
      <c r="M48" s="1420">
        <f t="shared" si="10"/>
        <v>0</v>
      </c>
      <c r="N48" s="2573"/>
      <c r="O48" s="2553" t="s">
        <v>1252</v>
      </c>
      <c r="P48" s="461"/>
      <c r="Q48"/>
      <c r="R48"/>
      <c r="S48"/>
      <c r="T48"/>
      <c r="U48"/>
      <c r="V48"/>
      <c r="W48"/>
      <c r="X48"/>
      <c r="Y48"/>
      <c r="AA48" s="1422">
        <f t="shared" ref="AA48:AC49" si="14">IF(I48="x",1,0)</f>
        <v>0</v>
      </c>
      <c r="AB48" s="1422">
        <f t="shared" si="14"/>
        <v>0</v>
      </c>
      <c r="AC48" s="1422">
        <f t="shared" si="14"/>
        <v>0</v>
      </c>
      <c r="AD48" s="1423">
        <f t="shared" si="9"/>
        <v>0</v>
      </c>
    </row>
    <row r="49" spans="2:30" s="436" customFormat="1" ht="18" customHeight="1" x14ac:dyDescent="0.25">
      <c r="B49" s="2571">
        <f t="shared" si="8"/>
        <v>24</v>
      </c>
      <c r="C49" s="1751" t="s">
        <v>386</v>
      </c>
      <c r="D49" s="1750" t="s">
        <v>5</v>
      </c>
      <c r="E49" s="1752"/>
      <c r="F49" s="1755"/>
      <c r="G49" s="1754">
        <f>IF(F49=0,0,VLOOKUP(Arbeitsgänge!F49,$B$13:$M$19,3))</f>
        <v>0</v>
      </c>
      <c r="H49" s="1753"/>
      <c r="I49" s="1427"/>
      <c r="J49" s="1428"/>
      <c r="K49" s="1419">
        <f t="shared" si="11"/>
        <v>0</v>
      </c>
      <c r="L49" s="1418">
        <v>15</v>
      </c>
      <c r="M49" s="1420">
        <f t="shared" si="10"/>
        <v>0</v>
      </c>
      <c r="N49" s="2573"/>
      <c r="O49" s="2553"/>
      <c r="P49" s="461"/>
      <c r="Q49"/>
      <c r="R49"/>
      <c r="S49"/>
      <c r="T49"/>
      <c r="U49">
        <f>(100+$F$5)*0.01*T49</f>
        <v>0</v>
      </c>
      <c r="V49"/>
      <c r="W49"/>
      <c r="X49"/>
      <c r="Y49"/>
      <c r="AA49" s="1422">
        <f t="shared" si="14"/>
        <v>0</v>
      </c>
      <c r="AB49" s="1422">
        <f t="shared" si="14"/>
        <v>0</v>
      </c>
      <c r="AC49" s="1422">
        <f t="shared" si="14"/>
        <v>0</v>
      </c>
      <c r="AD49" s="1423">
        <f t="shared" si="9"/>
        <v>0</v>
      </c>
    </row>
    <row r="50" spans="2:30" s="436" customFormat="1" ht="18" customHeight="1" x14ac:dyDescent="0.25">
      <c r="B50" s="2571">
        <f t="shared" si="8"/>
        <v>25</v>
      </c>
      <c r="C50" s="3080"/>
      <c r="D50" s="1750" t="s">
        <v>5</v>
      </c>
      <c r="E50" s="1752"/>
      <c r="F50" s="1755"/>
      <c r="G50" s="1754">
        <f>IF(F50=0,0,VLOOKUP(Arbeitsgänge!F50,$B$13:$M$19,3))</f>
        <v>0</v>
      </c>
      <c r="H50" s="1753"/>
      <c r="I50" s="1427"/>
      <c r="J50" s="1428"/>
      <c r="K50" s="1419">
        <f t="shared" si="11"/>
        <v>0</v>
      </c>
      <c r="L50" s="1418"/>
      <c r="M50" s="1420">
        <f t="shared" si="10"/>
        <v>0</v>
      </c>
      <c r="N50" s="405"/>
      <c r="O50" s="2553"/>
      <c r="P50" s="461"/>
      <c r="Q50"/>
      <c r="R50"/>
      <c r="S50"/>
      <c r="T50"/>
      <c r="U50"/>
      <c r="V50"/>
      <c r="W50"/>
      <c r="X50"/>
      <c r="Y50"/>
      <c r="AA50" s="1422">
        <f t="shared" ref="AA50:AC57" si="15">IF(I50="x",1,0)</f>
        <v>0</v>
      </c>
      <c r="AB50" s="1422">
        <f t="shared" si="15"/>
        <v>0</v>
      </c>
      <c r="AC50" s="1422">
        <f t="shared" si="15"/>
        <v>0</v>
      </c>
      <c r="AD50" s="1423">
        <f t="shared" si="9"/>
        <v>0</v>
      </c>
    </row>
    <row r="51" spans="2:30" s="436" customFormat="1" ht="18" customHeight="1" x14ac:dyDescent="0.25">
      <c r="B51" s="2571">
        <f t="shared" si="8"/>
        <v>26</v>
      </c>
      <c r="C51" s="1751" t="s">
        <v>24</v>
      </c>
      <c r="D51" s="1750" t="s">
        <v>5</v>
      </c>
      <c r="E51" s="1752">
        <v>1.7</v>
      </c>
      <c r="F51" s="1755">
        <v>6</v>
      </c>
      <c r="G51" s="1754">
        <f>IF(F51=0,0,VLOOKUP(Arbeitsgänge!F51,$B$13:$M$19,3))</f>
        <v>54</v>
      </c>
      <c r="H51" s="1753"/>
      <c r="I51" s="1427" t="s">
        <v>28</v>
      </c>
      <c r="J51" s="1428"/>
      <c r="K51" s="1419">
        <f t="shared" si="11"/>
        <v>11.199701176470588</v>
      </c>
      <c r="L51" s="1418">
        <v>0.54</v>
      </c>
      <c r="M51" s="1420">
        <f t="shared" si="10"/>
        <v>9.219927976000001</v>
      </c>
      <c r="N51" s="405"/>
      <c r="O51" s="2553" t="s">
        <v>1327</v>
      </c>
      <c r="P51" s="461"/>
      <c r="Q51"/>
      <c r="R51"/>
      <c r="S51"/>
      <c r="T51"/>
      <c r="U51"/>
      <c r="V51"/>
      <c r="W51"/>
      <c r="X51"/>
      <c r="Y51"/>
      <c r="AA51" s="1422">
        <f t="shared" si="15"/>
        <v>1</v>
      </c>
      <c r="AB51" s="1422">
        <f t="shared" si="15"/>
        <v>0</v>
      </c>
      <c r="AC51" s="1422">
        <f t="shared" si="15"/>
        <v>0</v>
      </c>
      <c r="AD51" s="1423">
        <f t="shared" si="9"/>
        <v>1</v>
      </c>
    </row>
    <row r="52" spans="2:30" s="436" customFormat="1" ht="18" customHeight="1" x14ac:dyDescent="0.25">
      <c r="B52" s="2571">
        <f t="shared" si="8"/>
        <v>27</v>
      </c>
      <c r="C52" s="1751" t="s">
        <v>410</v>
      </c>
      <c r="D52" s="1750" t="s">
        <v>5</v>
      </c>
      <c r="E52" s="1752">
        <v>2.25</v>
      </c>
      <c r="F52" s="1755">
        <v>4</v>
      </c>
      <c r="G52" s="1754">
        <f>IF(F52=0,0,VLOOKUP(Arbeitsgänge!F52,$B$13:$M$19,3))</f>
        <v>83</v>
      </c>
      <c r="H52" s="1753"/>
      <c r="I52" s="1427" t="s">
        <v>28</v>
      </c>
      <c r="J52" s="1428"/>
      <c r="K52" s="1419">
        <f t="shared" si="11"/>
        <v>14.997952605042016</v>
      </c>
      <c r="L52" s="1418">
        <v>0.55000000000000004</v>
      </c>
      <c r="M52" s="1420">
        <f t="shared" si="10"/>
        <v>12.49365998</v>
      </c>
      <c r="N52" s="405"/>
      <c r="O52" s="2789" t="s">
        <v>1328</v>
      </c>
      <c r="P52" s="461"/>
      <c r="Q52"/>
      <c r="R52"/>
      <c r="S52"/>
      <c r="T52"/>
      <c r="U52"/>
      <c r="V52"/>
      <c r="W52"/>
      <c r="X52"/>
      <c r="Y52"/>
      <c r="AA52" s="1422">
        <f t="shared" si="15"/>
        <v>1</v>
      </c>
      <c r="AB52" s="1422">
        <f t="shared" si="15"/>
        <v>0</v>
      </c>
      <c r="AC52" s="1422">
        <f t="shared" si="15"/>
        <v>0</v>
      </c>
      <c r="AD52" s="1423">
        <f t="shared" si="9"/>
        <v>1</v>
      </c>
    </row>
    <row r="53" spans="2:30" s="436" customFormat="1" ht="18" customHeight="1" x14ac:dyDescent="0.25">
      <c r="B53" s="2571">
        <f t="shared" si="8"/>
        <v>28</v>
      </c>
      <c r="C53" s="1751" t="s">
        <v>919</v>
      </c>
      <c r="D53" s="1750" t="s">
        <v>383</v>
      </c>
      <c r="E53" s="1752">
        <v>2.25</v>
      </c>
      <c r="F53" s="1755">
        <v>1</v>
      </c>
      <c r="G53" s="1754">
        <f>IF(F53=0,0,VLOOKUP(Arbeitsgänge!F53,$B$13:$M$19,3))</f>
        <v>200</v>
      </c>
      <c r="H53" s="1753"/>
      <c r="I53" s="1427"/>
      <c r="J53" s="1428" t="s">
        <v>28</v>
      </c>
      <c r="K53" s="1419">
        <f t="shared" si="11"/>
        <v>37.936437478991593</v>
      </c>
      <c r="L53" s="1418">
        <v>0.3</v>
      </c>
      <c r="M53" s="1420">
        <f t="shared" si="10"/>
        <v>16.220808179999999</v>
      </c>
      <c r="N53" s="405"/>
      <c r="O53" s="2553" t="s">
        <v>1329</v>
      </c>
      <c r="P53" s="461"/>
      <c r="Q53"/>
      <c r="R53"/>
      <c r="S53"/>
      <c r="T53"/>
      <c r="U53"/>
      <c r="V53"/>
      <c r="W53"/>
      <c r="X53"/>
      <c r="Y53"/>
      <c r="AA53" s="1422">
        <f t="shared" si="15"/>
        <v>0</v>
      </c>
      <c r="AB53" s="1422">
        <f t="shared" si="15"/>
        <v>1</v>
      </c>
      <c r="AC53" s="1422">
        <f t="shared" si="15"/>
        <v>0</v>
      </c>
      <c r="AD53" s="1423">
        <f t="shared" si="9"/>
        <v>1</v>
      </c>
    </row>
    <row r="54" spans="2:30" s="436" customFormat="1" ht="18" customHeight="1" x14ac:dyDescent="0.25">
      <c r="B54" s="2571">
        <f t="shared" si="8"/>
        <v>29</v>
      </c>
      <c r="C54" s="1751" t="s">
        <v>1356</v>
      </c>
      <c r="D54" s="1750" t="s">
        <v>5</v>
      </c>
      <c r="E54" s="1752">
        <f>0.25*15+1.7</f>
        <v>5.45</v>
      </c>
      <c r="F54" s="1755">
        <v>5</v>
      </c>
      <c r="G54" s="1754">
        <f>IF(F54=0,0,VLOOKUP(Arbeitsgänge!F54,$B$13:$M$19,3))</f>
        <v>67</v>
      </c>
      <c r="H54" s="1753"/>
      <c r="I54" s="1427" t="s">
        <v>28</v>
      </c>
      <c r="J54" s="1428"/>
      <c r="K54" s="1419">
        <f t="shared" si="11"/>
        <v>14.404349243697478</v>
      </c>
      <c r="L54" s="1418">
        <v>3.07</v>
      </c>
      <c r="M54" s="1420">
        <f t="shared" si="10"/>
        <v>59.108909092000005</v>
      </c>
      <c r="N54" s="2574"/>
      <c r="O54" s="2553" t="s">
        <v>1357</v>
      </c>
      <c r="P54" s="461"/>
      <c r="Q54" s="747"/>
      <c r="R54"/>
      <c r="S54"/>
      <c r="T54"/>
      <c r="U54"/>
      <c r="V54"/>
      <c r="W54"/>
      <c r="X54"/>
      <c r="Y54"/>
      <c r="AA54" s="1422">
        <f t="shared" si="15"/>
        <v>1</v>
      </c>
      <c r="AB54" s="1422">
        <f t="shared" si="15"/>
        <v>0</v>
      </c>
      <c r="AC54" s="1422">
        <f t="shared" si="15"/>
        <v>0</v>
      </c>
      <c r="AD54" s="1423">
        <f t="shared" si="9"/>
        <v>1</v>
      </c>
    </row>
    <row r="55" spans="2:30" s="436" customFormat="1" ht="18" customHeight="1" x14ac:dyDescent="0.25">
      <c r="B55" s="2571">
        <f t="shared" si="8"/>
        <v>30</v>
      </c>
      <c r="C55" s="1751" t="s">
        <v>60</v>
      </c>
      <c r="D55" s="1750" t="s">
        <v>5</v>
      </c>
      <c r="E55" s="1752">
        <v>1.65</v>
      </c>
      <c r="F55" s="1755">
        <v>7</v>
      </c>
      <c r="G55" s="1754">
        <f>IF(F55=0,0,VLOOKUP(Arbeitsgänge!F55,$B$13:$M$19,3))</f>
        <v>45</v>
      </c>
      <c r="H55" s="1753"/>
      <c r="I55" s="1427" t="s">
        <v>28</v>
      </c>
      <c r="J55" s="1428"/>
      <c r="K55" s="1419">
        <f t="shared" si="11"/>
        <v>9.9060978151260493</v>
      </c>
      <c r="L55" s="1418">
        <v>0.35</v>
      </c>
      <c r="M55" s="1420">
        <f t="shared" si="10"/>
        <v>6.0893897399999997</v>
      </c>
      <c r="N55" s="405"/>
      <c r="O55" s="2553" t="s">
        <v>1330</v>
      </c>
      <c r="P55" s="461"/>
      <c r="Q55"/>
      <c r="R55"/>
      <c r="S55"/>
      <c r="T55"/>
      <c r="U55"/>
      <c r="V55"/>
      <c r="W55"/>
      <c r="X55"/>
      <c r="Y55"/>
      <c r="AA55" s="1422">
        <f t="shared" si="15"/>
        <v>1</v>
      </c>
      <c r="AB55" s="1422">
        <f t="shared" si="15"/>
        <v>0</v>
      </c>
      <c r="AC55" s="1422">
        <f t="shared" si="15"/>
        <v>0</v>
      </c>
      <c r="AD55" s="1423">
        <f>SUM(AA55:AC55)</f>
        <v>1</v>
      </c>
    </row>
    <row r="56" spans="2:30" s="436" customFormat="1" ht="18" customHeight="1" x14ac:dyDescent="0.25">
      <c r="B56" s="2571">
        <f t="shared" si="8"/>
        <v>31</v>
      </c>
      <c r="C56" s="1751" t="s">
        <v>1331</v>
      </c>
      <c r="D56" s="1750" t="s">
        <v>5</v>
      </c>
      <c r="E56" s="1752">
        <v>1.9</v>
      </c>
      <c r="F56" s="1755">
        <v>3</v>
      </c>
      <c r="G56" s="1754">
        <f>IF(F56=0,0,VLOOKUP(Arbeitsgänge!F56,$B$13:$M$19,3))</f>
        <v>102</v>
      </c>
      <c r="H56" s="1753" t="s">
        <v>28</v>
      </c>
      <c r="I56" s="1427"/>
      <c r="J56" s="1428"/>
      <c r="K56" s="1419">
        <f t="shared" si="11"/>
        <v>14.410716000000001</v>
      </c>
      <c r="L56" s="1418">
        <v>0.2</v>
      </c>
      <c r="M56" s="1420">
        <f t="shared" si="10"/>
        <v>5.6907504080000004</v>
      </c>
      <c r="N56" s="405"/>
      <c r="O56" s="2789" t="s">
        <v>1330</v>
      </c>
      <c r="P56" s="461"/>
      <c r="Q56" s="747"/>
      <c r="R56"/>
      <c r="S56"/>
      <c r="T56"/>
      <c r="U56"/>
      <c r="V56"/>
      <c r="W56"/>
      <c r="X56"/>
      <c r="Y56"/>
      <c r="AA56" s="1422">
        <f t="shared" si="15"/>
        <v>0</v>
      </c>
      <c r="AB56" s="1422">
        <f t="shared" si="15"/>
        <v>0</v>
      </c>
      <c r="AC56" s="1422">
        <f t="shared" si="15"/>
        <v>0</v>
      </c>
      <c r="AD56" s="1423">
        <f t="shared" si="9"/>
        <v>0</v>
      </c>
    </row>
    <row r="57" spans="2:30" s="436" customFormat="1" ht="18" customHeight="1" x14ac:dyDescent="0.25">
      <c r="B57" s="2571">
        <f t="shared" si="8"/>
        <v>32</v>
      </c>
      <c r="C57" s="1751" t="s">
        <v>920</v>
      </c>
      <c r="D57" s="1750" t="s">
        <v>5</v>
      </c>
      <c r="E57" s="1752">
        <v>2.2999999999999998</v>
      </c>
      <c r="F57" s="1755">
        <v>4</v>
      </c>
      <c r="G57" s="1754">
        <f>IF(F57=0,0,VLOOKUP(Arbeitsgänge!F57,$B$13:$M$19,3))</f>
        <v>83</v>
      </c>
      <c r="H57" s="1753"/>
      <c r="I57" s="1427" t="s">
        <v>28</v>
      </c>
      <c r="J57" s="1428"/>
      <c r="K57" s="1419">
        <f t="shared" si="11"/>
        <v>14.997952605042016</v>
      </c>
      <c r="L57" s="1418">
        <v>0.26</v>
      </c>
      <c r="M57" s="1420">
        <f t="shared" si="10"/>
        <v>7.3773665359999994</v>
      </c>
      <c r="N57" s="405"/>
      <c r="O57" s="2789" t="s">
        <v>1330</v>
      </c>
      <c r="P57" s="461"/>
      <c r="Q57" s="747"/>
      <c r="R57"/>
      <c r="S57"/>
      <c r="T57"/>
      <c r="U57"/>
      <c r="V57"/>
      <c r="W57"/>
      <c r="X57"/>
      <c r="Y57"/>
      <c r="AA57" s="1422">
        <f t="shared" si="15"/>
        <v>1</v>
      </c>
      <c r="AB57" s="1422">
        <f t="shared" si="15"/>
        <v>0</v>
      </c>
      <c r="AC57" s="1422">
        <f t="shared" si="15"/>
        <v>0</v>
      </c>
      <c r="AD57" s="1423">
        <f t="shared" si="9"/>
        <v>1</v>
      </c>
    </row>
    <row r="58" spans="2:30" s="436" customFormat="1" ht="18" customHeight="1" x14ac:dyDescent="0.25">
      <c r="B58" s="2571">
        <f t="shared" si="8"/>
        <v>33</v>
      </c>
      <c r="C58" s="1751" t="s">
        <v>231</v>
      </c>
      <c r="D58" s="1750" t="s">
        <v>5</v>
      </c>
      <c r="E58" s="1752">
        <v>2.2999999999999998</v>
      </c>
      <c r="F58" s="1755">
        <v>2</v>
      </c>
      <c r="G58" s="1754">
        <f>IF(F58=0,0,VLOOKUP(Arbeitsgänge!F58,$B$13:$M$19,3))</f>
        <v>120</v>
      </c>
      <c r="H58" s="1753"/>
      <c r="I58" s="1427" t="s">
        <v>28</v>
      </c>
      <c r="J58" s="1428"/>
      <c r="K58" s="1419">
        <f t="shared" si="11"/>
        <v>19.310447058823527</v>
      </c>
      <c r="L58" s="1418">
        <v>0.17</v>
      </c>
      <c r="M58" s="1420">
        <f t="shared" si="10"/>
        <v>6.6435034399999982</v>
      </c>
      <c r="N58" s="405"/>
      <c r="O58" s="2789" t="s">
        <v>1332</v>
      </c>
      <c r="P58" s="461"/>
      <c r="Q58" s="747"/>
      <c r="R58"/>
      <c r="S58"/>
      <c r="T58"/>
      <c r="U58"/>
      <c r="V58"/>
      <c r="W58"/>
      <c r="X58"/>
      <c r="Y58"/>
      <c r="AA58" s="1422"/>
      <c r="AB58" s="1422">
        <f>IF(J58="x",1,0)</f>
        <v>0</v>
      </c>
      <c r="AC58" s="1422"/>
      <c r="AD58" s="1423"/>
    </row>
    <row r="59" spans="2:30" s="436" customFormat="1" ht="18" customHeight="1" x14ac:dyDescent="0.25">
      <c r="B59" s="2571">
        <f t="shared" si="8"/>
        <v>34</v>
      </c>
      <c r="C59" s="3080"/>
      <c r="D59" s="1750"/>
      <c r="E59" s="1752"/>
      <c r="F59" s="1755"/>
      <c r="G59" s="1754">
        <f>IF(F59=0,0,VLOOKUP(Arbeitsgänge!F59,$B$13:$M$19,3))</f>
        <v>0</v>
      </c>
      <c r="H59" s="1753"/>
      <c r="I59" s="1427"/>
      <c r="J59" s="1428"/>
      <c r="K59" s="1419">
        <f t="shared" si="11"/>
        <v>0</v>
      </c>
      <c r="L59" s="1418"/>
      <c r="M59" s="1420">
        <f t="shared" si="10"/>
        <v>0</v>
      </c>
      <c r="N59" s="2574"/>
      <c r="O59" s="2553"/>
      <c r="P59" s="461"/>
      <c r="Q59" s="747"/>
      <c r="R59"/>
      <c r="S59"/>
      <c r="T59"/>
      <c r="U59"/>
      <c r="V59"/>
      <c r="W59"/>
      <c r="X59"/>
      <c r="Y59"/>
      <c r="AA59" s="1422">
        <f>IF(I59="x",1,0)</f>
        <v>0</v>
      </c>
      <c r="AB59" s="1422">
        <f>IF(J59="x",1,0)</f>
        <v>0</v>
      </c>
      <c r="AC59" s="1422">
        <f>IF(K59="x",1,0)</f>
        <v>0</v>
      </c>
      <c r="AD59" s="1423">
        <f t="shared" si="9"/>
        <v>0</v>
      </c>
    </row>
    <row r="60" spans="2:30" s="436" customFormat="1" ht="18" customHeight="1" x14ac:dyDescent="0.25">
      <c r="B60" s="2571">
        <f t="shared" si="8"/>
        <v>35</v>
      </c>
      <c r="C60" s="1751" t="s">
        <v>1248</v>
      </c>
      <c r="D60" s="1750" t="s">
        <v>5</v>
      </c>
      <c r="E60" s="1752">
        <f>0.25*3.15+2.8</f>
        <v>3.5874999999999999</v>
      </c>
      <c r="F60" s="1755">
        <v>4</v>
      </c>
      <c r="G60" s="1754">
        <f>IF(F60=0,0,VLOOKUP(Arbeitsgänge!F60,$B$13:$M$19,3))</f>
        <v>83</v>
      </c>
      <c r="H60" s="1753"/>
      <c r="I60" s="1427" t="s">
        <v>28</v>
      </c>
      <c r="J60" s="1428"/>
      <c r="K60" s="1419">
        <f t="shared" si="11"/>
        <v>14.997952605042016</v>
      </c>
      <c r="L60" s="1418">
        <v>0.8</v>
      </c>
      <c r="M60" s="1420">
        <f t="shared" si="10"/>
        <v>18.547175880000001</v>
      </c>
      <c r="N60" s="2574"/>
      <c r="O60" s="2553" t="s">
        <v>1358</v>
      </c>
      <c r="P60" s="461"/>
      <c r="Q60" s="747"/>
      <c r="R60"/>
      <c r="S60"/>
      <c r="T60"/>
      <c r="U60"/>
      <c r="V60"/>
      <c r="W60"/>
      <c r="X60"/>
      <c r="Y60"/>
      <c r="AA60" s="1422">
        <f>IF(I60="x",1,0)</f>
        <v>1</v>
      </c>
      <c r="AB60" s="1422">
        <f>IF(J60="x",1,0)</f>
        <v>0</v>
      </c>
      <c r="AC60" s="1422">
        <f>IF(K60="x",1,0)</f>
        <v>0</v>
      </c>
      <c r="AD60" s="1423">
        <f t="shared" si="9"/>
        <v>1</v>
      </c>
    </row>
    <row r="61" spans="2:30" s="436" customFormat="1" ht="18" customHeight="1" x14ac:dyDescent="0.25">
      <c r="B61" s="2571">
        <f t="shared" si="8"/>
        <v>36</v>
      </c>
      <c r="C61" s="1751" t="s">
        <v>921</v>
      </c>
      <c r="D61" s="1750" t="s">
        <v>5</v>
      </c>
      <c r="E61" s="1752">
        <f>0.3*4.1</f>
        <v>1.2299999999999998</v>
      </c>
      <c r="F61" s="1755">
        <v>2</v>
      </c>
      <c r="G61" s="1754">
        <f>IF(F61=0,0,VLOOKUP(Arbeitsgänge!F61,$B$13:$M$19,3))</f>
        <v>120</v>
      </c>
      <c r="H61" s="1753"/>
      <c r="I61" s="1427" t="s">
        <v>28</v>
      </c>
      <c r="J61" s="1428"/>
      <c r="K61" s="1419">
        <f t="shared" si="11"/>
        <v>19.310447058823527</v>
      </c>
      <c r="L61" s="1418">
        <v>0.49</v>
      </c>
      <c r="M61" s="1420">
        <f t="shared" si="10"/>
        <v>12.723621679999999</v>
      </c>
      <c r="N61" s="2574"/>
      <c r="O61" s="2553" t="s">
        <v>1324</v>
      </c>
      <c r="P61" s="461"/>
      <c r="Q61" s="747"/>
      <c r="R61"/>
      <c r="S61"/>
      <c r="T61"/>
      <c r="U61"/>
      <c r="V61"/>
      <c r="W61"/>
      <c r="X61"/>
      <c r="Y61"/>
      <c r="AA61" s="1422">
        <f>IF(I61="x",1,0)</f>
        <v>1</v>
      </c>
      <c r="AB61" s="1422">
        <f>IF(J61="x",1,0)</f>
        <v>0</v>
      </c>
      <c r="AC61" s="1422">
        <f>IF(K61="x",1,0)</f>
        <v>0</v>
      </c>
      <c r="AD61" s="1423">
        <f t="shared" ref="AD61" si="16">SUM(AA61:AC61)</f>
        <v>1</v>
      </c>
    </row>
    <row r="62" spans="2:30" s="436" customFormat="1" ht="18" customHeight="1" x14ac:dyDescent="0.25">
      <c r="B62" s="2571">
        <f t="shared" si="8"/>
        <v>37</v>
      </c>
      <c r="C62" s="1751" t="s">
        <v>922</v>
      </c>
      <c r="D62" s="1750" t="s">
        <v>5</v>
      </c>
      <c r="E62" s="1752"/>
      <c r="F62" s="1755">
        <v>3</v>
      </c>
      <c r="G62" s="1754">
        <f>IF(F62=0,0,VLOOKUP(Arbeitsgänge!F62,$B$13:$M$19,3))</f>
        <v>102</v>
      </c>
      <c r="H62" s="1753"/>
      <c r="I62" s="1427" t="s">
        <v>28</v>
      </c>
      <c r="J62" s="1428"/>
      <c r="K62" s="1419">
        <f t="shared" si="11"/>
        <v>17.243880000000001</v>
      </c>
      <c r="L62" s="1418">
        <v>0.49</v>
      </c>
      <c r="M62" s="1420">
        <f t="shared" si="10"/>
        <v>10.054906428000001</v>
      </c>
      <c r="N62" s="2573"/>
      <c r="O62" s="2553" t="s">
        <v>1325</v>
      </c>
      <c r="P62" s="461"/>
      <c r="Q62" s="747"/>
      <c r="R62"/>
      <c r="S62"/>
      <c r="T62"/>
      <c r="U62"/>
      <c r="V62"/>
      <c r="W62"/>
      <c r="X62"/>
      <c r="Y62"/>
      <c r="AA62" s="1422">
        <f t="shared" ref="AA62:AA72" si="17">IF(I62="x",1,0)</f>
        <v>1</v>
      </c>
      <c r="AB62" s="1422">
        <f t="shared" ref="AB62:AB72" si="18">IF(J62="x",1,0)</f>
        <v>0</v>
      </c>
      <c r="AC62" s="1422">
        <f t="shared" ref="AC62:AC72" si="19">IF(K62="x",1,0)</f>
        <v>0</v>
      </c>
      <c r="AD62" s="1423">
        <f t="shared" si="9"/>
        <v>1</v>
      </c>
    </row>
    <row r="63" spans="2:30" s="436" customFormat="1" ht="18" customHeight="1" x14ac:dyDescent="0.25">
      <c r="B63" s="2571">
        <f t="shared" si="8"/>
        <v>38</v>
      </c>
      <c r="C63" s="1751" t="s">
        <v>923</v>
      </c>
      <c r="D63" s="1750" t="s">
        <v>5</v>
      </c>
      <c r="E63" s="1752"/>
      <c r="F63" s="1755"/>
      <c r="G63" s="1754">
        <f>IF(F63=0,0,VLOOKUP(Arbeitsgänge!F63,$B$13:$M$19,3))</f>
        <v>0</v>
      </c>
      <c r="H63" s="1753"/>
      <c r="I63" s="1427"/>
      <c r="J63" s="1428"/>
      <c r="K63" s="1419">
        <f t="shared" si="11"/>
        <v>0</v>
      </c>
      <c r="L63" s="1418">
        <v>0.4</v>
      </c>
      <c r="M63" s="1420">
        <f t="shared" si="10"/>
        <v>0</v>
      </c>
      <c r="N63" s="2573"/>
      <c r="O63" s="2553" t="s">
        <v>1326</v>
      </c>
      <c r="P63" s="461"/>
      <c r="Q63" s="747"/>
      <c r="R63"/>
      <c r="S63"/>
      <c r="T63"/>
      <c r="U63"/>
      <c r="V63"/>
      <c r="W63"/>
      <c r="X63"/>
      <c r="Y63"/>
      <c r="AA63" s="1422">
        <f t="shared" si="17"/>
        <v>0</v>
      </c>
      <c r="AB63" s="1422">
        <f t="shared" si="18"/>
        <v>0</v>
      </c>
      <c r="AC63" s="1422">
        <f t="shared" si="19"/>
        <v>0</v>
      </c>
      <c r="AD63" s="1423">
        <f t="shared" si="9"/>
        <v>0</v>
      </c>
    </row>
    <row r="64" spans="2:30" s="436" customFormat="1" ht="18" customHeight="1" x14ac:dyDescent="0.25">
      <c r="B64" s="2571">
        <f t="shared" si="8"/>
        <v>39</v>
      </c>
      <c r="C64" s="1751" t="s">
        <v>924</v>
      </c>
      <c r="D64" s="1750" t="s">
        <v>5</v>
      </c>
      <c r="E64" s="1752">
        <f>7*1.2</f>
        <v>8.4</v>
      </c>
      <c r="F64" s="1755">
        <v>5</v>
      </c>
      <c r="G64" s="1754">
        <f>IF(F64=0,0,VLOOKUP(Arbeitsgänge!F64,$B$13:$M$19,3))</f>
        <v>67</v>
      </c>
      <c r="H64" s="1753" t="s">
        <v>28</v>
      </c>
      <c r="I64" s="1427"/>
      <c r="J64" s="1428"/>
      <c r="K64" s="1419">
        <f t="shared" si="11"/>
        <v>12.333044470588234</v>
      </c>
      <c r="L64" s="1418">
        <v>0.43</v>
      </c>
      <c r="M64" s="1420">
        <f t="shared" si="10"/>
        <v>16.3068188556</v>
      </c>
      <c r="N64" s="2573"/>
      <c r="O64" s="2553" t="s">
        <v>1317</v>
      </c>
      <c r="P64" s="461"/>
      <c r="Q64" s="747"/>
      <c r="R64"/>
      <c r="S64"/>
      <c r="T64"/>
      <c r="U64"/>
      <c r="V64"/>
      <c r="W64"/>
      <c r="X64"/>
      <c r="Y64"/>
      <c r="AA64" s="1422">
        <f t="shared" si="17"/>
        <v>0</v>
      </c>
      <c r="AB64" s="1422">
        <f t="shared" si="18"/>
        <v>0</v>
      </c>
      <c r="AC64" s="1422">
        <f t="shared" si="19"/>
        <v>0</v>
      </c>
      <c r="AD64" s="1423">
        <f t="shared" si="9"/>
        <v>0</v>
      </c>
    </row>
    <row r="65" spans="1:30" s="436" customFormat="1" ht="18" customHeight="1" x14ac:dyDescent="0.25">
      <c r="B65" s="2571">
        <f t="shared" si="8"/>
        <v>40</v>
      </c>
      <c r="C65" s="1751" t="s">
        <v>925</v>
      </c>
      <c r="D65" s="1750" t="s">
        <v>5</v>
      </c>
      <c r="E65" s="1752">
        <v>14.32</v>
      </c>
      <c r="F65" s="1755">
        <v>6</v>
      </c>
      <c r="G65" s="1754">
        <f>IF(F65=0,0,VLOOKUP(Arbeitsgänge!F65,$B$13:$M$19,3))</f>
        <v>54</v>
      </c>
      <c r="H65" s="1753"/>
      <c r="I65" s="1427" t="s">
        <v>28</v>
      </c>
      <c r="J65" s="1428"/>
      <c r="K65" s="1419">
        <f t="shared" si="11"/>
        <v>11.199701176470588</v>
      </c>
      <c r="L65" s="1418">
        <v>0.98</v>
      </c>
      <c r="M65" s="1420">
        <f t="shared" si="10"/>
        <v>30.101891512000002</v>
      </c>
      <c r="N65" s="2573"/>
      <c r="O65" s="2553" t="s">
        <v>1318</v>
      </c>
      <c r="P65" s="461"/>
      <c r="Q65" s="2575"/>
      <c r="R65"/>
      <c r="S65"/>
      <c r="T65"/>
      <c r="U65"/>
      <c r="V65"/>
      <c r="W65"/>
      <c r="X65"/>
      <c r="Y65"/>
      <c r="AA65" s="1422">
        <f t="shared" si="17"/>
        <v>1</v>
      </c>
      <c r="AB65" s="1422">
        <f t="shared" si="18"/>
        <v>0</v>
      </c>
      <c r="AC65" s="1422">
        <f t="shared" si="19"/>
        <v>0</v>
      </c>
      <c r="AD65" s="1423">
        <f t="shared" si="9"/>
        <v>1</v>
      </c>
    </row>
    <row r="66" spans="1:30" s="436" customFormat="1" ht="18" customHeight="1" x14ac:dyDescent="0.25">
      <c r="B66" s="2571">
        <f t="shared" si="8"/>
        <v>41</v>
      </c>
      <c r="C66" s="1751" t="s">
        <v>1322</v>
      </c>
      <c r="D66" s="1750" t="s">
        <v>5</v>
      </c>
      <c r="E66" s="1752">
        <v>0.63</v>
      </c>
      <c r="F66" s="1755">
        <v>5</v>
      </c>
      <c r="G66" s="1754">
        <f>IF(F66=0,0,VLOOKUP(Arbeitsgänge!F66,$B$13:$M$19,3))</f>
        <v>67</v>
      </c>
      <c r="H66" s="1753"/>
      <c r="I66" s="1427" t="s">
        <v>28</v>
      </c>
      <c r="J66" s="1428"/>
      <c r="K66" s="1419">
        <f t="shared" si="11"/>
        <v>14.404349243697478</v>
      </c>
      <c r="L66" s="1418">
        <v>0.68</v>
      </c>
      <c r="M66" s="1420">
        <f t="shared" si="10"/>
        <v>12.405699408</v>
      </c>
      <c r="N66" s="2573"/>
      <c r="O66" s="2553" t="s">
        <v>1323</v>
      </c>
      <c r="P66" s="461"/>
      <c r="Q66" s="2575"/>
      <c r="R66" s="1750"/>
      <c r="S66"/>
      <c r="T66"/>
      <c r="U66"/>
      <c r="V66"/>
      <c r="W66"/>
      <c r="X66"/>
      <c r="Y66"/>
      <c r="AA66" s="1422">
        <f t="shared" si="17"/>
        <v>1</v>
      </c>
      <c r="AB66" s="1422">
        <f t="shared" si="18"/>
        <v>0</v>
      </c>
      <c r="AC66" s="1422">
        <f t="shared" si="19"/>
        <v>0</v>
      </c>
      <c r="AD66" s="1423">
        <f t="shared" si="9"/>
        <v>1</v>
      </c>
    </row>
    <row r="67" spans="1:30" s="436" customFormat="1" ht="18" customHeight="1" x14ac:dyDescent="0.25">
      <c r="B67" s="2571">
        <f t="shared" si="8"/>
        <v>42</v>
      </c>
      <c r="C67" s="1751" t="s">
        <v>926</v>
      </c>
      <c r="D67" s="1750" t="s">
        <v>5</v>
      </c>
      <c r="E67" s="1752">
        <v>0.82</v>
      </c>
      <c r="F67" s="1755">
        <v>6</v>
      </c>
      <c r="G67" s="1754">
        <f>IF(F67=0,0,VLOOKUP(Arbeitsgänge!F67,$B$13:$M$19,3))</f>
        <v>54</v>
      </c>
      <c r="H67" s="1753" t="s">
        <v>28</v>
      </c>
      <c r="I67" s="1427"/>
      <c r="J67" s="1428"/>
      <c r="K67" s="1419">
        <f t="shared" si="11"/>
        <v>9.6997908235294119</v>
      </c>
      <c r="L67" s="1418">
        <v>0.73</v>
      </c>
      <c r="M67" s="1420">
        <f t="shared" si="10"/>
        <v>9.4020082884000011</v>
      </c>
      <c r="N67" s="2573"/>
      <c r="O67" s="2553" t="s">
        <v>1321</v>
      </c>
      <c r="P67" s="461"/>
      <c r="Q67" s="2575"/>
      <c r="R67" s="1750"/>
      <c r="S67"/>
      <c r="T67"/>
      <c r="U67"/>
      <c r="V67"/>
      <c r="W67"/>
      <c r="X67"/>
      <c r="Y67"/>
      <c r="AA67" s="1422">
        <f t="shared" si="17"/>
        <v>0</v>
      </c>
      <c r="AB67" s="1422">
        <f t="shared" si="18"/>
        <v>0</v>
      </c>
      <c r="AC67" s="1422">
        <f t="shared" si="19"/>
        <v>0</v>
      </c>
      <c r="AD67" s="1423">
        <f t="shared" si="9"/>
        <v>0</v>
      </c>
    </row>
    <row r="68" spans="1:30" s="436" customFormat="1" ht="18" customHeight="1" x14ac:dyDescent="0.25">
      <c r="B68" s="2571">
        <f t="shared" si="8"/>
        <v>43</v>
      </c>
      <c r="C68" s="3080"/>
      <c r="D68" s="1750" t="s">
        <v>5</v>
      </c>
      <c r="E68" s="1752"/>
      <c r="F68" s="1755"/>
      <c r="G68" s="1754">
        <f>IF(F68=0,0,VLOOKUP(Arbeitsgänge!F68,$B$13:$M$19,3))</f>
        <v>0</v>
      </c>
      <c r="H68" s="1753"/>
      <c r="I68" s="1427"/>
      <c r="J68" s="1428"/>
      <c r="K68" s="1419">
        <f t="shared" si="11"/>
        <v>0</v>
      </c>
      <c r="L68" s="1418"/>
      <c r="M68" s="1420">
        <f t="shared" si="10"/>
        <v>0</v>
      </c>
      <c r="N68" s="2573"/>
      <c r="O68" s="2553"/>
      <c r="P68" s="461"/>
      <c r="Q68" s="747"/>
      <c r="R68"/>
      <c r="S68"/>
      <c r="T68"/>
      <c r="U68"/>
      <c r="V68"/>
      <c r="W68"/>
      <c r="X68"/>
      <c r="Y68"/>
      <c r="AA68" s="1422">
        <f t="shared" si="17"/>
        <v>0</v>
      </c>
      <c r="AB68" s="1422">
        <f t="shared" si="18"/>
        <v>0</v>
      </c>
      <c r="AC68" s="1422">
        <f t="shared" si="19"/>
        <v>0</v>
      </c>
      <c r="AD68" s="1423">
        <f t="shared" si="9"/>
        <v>0</v>
      </c>
    </row>
    <row r="69" spans="1:30" s="436" customFormat="1" ht="18" customHeight="1" x14ac:dyDescent="0.25">
      <c r="B69" s="2571">
        <f t="shared" si="8"/>
        <v>44</v>
      </c>
      <c r="C69" s="1751" t="s">
        <v>1238</v>
      </c>
      <c r="D69" s="1750" t="s">
        <v>5</v>
      </c>
      <c r="E69" s="1752">
        <f>0.2*30</f>
        <v>6</v>
      </c>
      <c r="F69" s="1755">
        <v>4</v>
      </c>
      <c r="G69" s="1754">
        <f>IF(F69=0,0,VLOOKUP(Arbeitsgänge!F69,$B$13:$M$19,3))</f>
        <v>83</v>
      </c>
      <c r="H69" s="1753" t="s">
        <v>28</v>
      </c>
      <c r="I69" s="1427"/>
      <c r="J69" s="1428"/>
      <c r="K69" s="1419">
        <f t="shared" si="11"/>
        <v>12.68856682352941</v>
      </c>
      <c r="L69" s="1418">
        <v>1.89</v>
      </c>
      <c r="M69" s="1420">
        <f t="shared" si="10"/>
        <v>35.677855642799997</v>
      </c>
      <c r="N69" s="2573"/>
      <c r="O69" s="2553" t="s">
        <v>1359</v>
      </c>
      <c r="P69" s="461"/>
      <c r="Q69" s="747"/>
      <c r="R69"/>
      <c r="S69"/>
      <c r="T69"/>
      <c r="U69"/>
      <c r="V69"/>
      <c r="W69"/>
      <c r="X69"/>
      <c r="Y69"/>
      <c r="AA69" s="1422">
        <f t="shared" si="17"/>
        <v>0</v>
      </c>
      <c r="AB69" s="1422">
        <f t="shared" si="18"/>
        <v>0</v>
      </c>
      <c r="AC69" s="1422">
        <f t="shared" si="19"/>
        <v>0</v>
      </c>
      <c r="AD69" s="1423">
        <f t="shared" si="9"/>
        <v>0</v>
      </c>
    </row>
    <row r="70" spans="1:30" s="436" customFormat="1" ht="18" customHeight="1" x14ac:dyDescent="0.25">
      <c r="B70" s="2571">
        <f t="shared" si="8"/>
        <v>45</v>
      </c>
      <c r="C70" s="1751" t="s">
        <v>1144</v>
      </c>
      <c r="D70" s="1750" t="s">
        <v>5</v>
      </c>
      <c r="E70" s="1752">
        <v>0</v>
      </c>
      <c r="F70" s="1755">
        <v>3</v>
      </c>
      <c r="G70" s="1754">
        <f>IF(F70=0,0,VLOOKUP(Arbeitsgänge!F70,$B$13:$M$19,3))</f>
        <v>102</v>
      </c>
      <c r="H70" s="1753" t="s">
        <v>28</v>
      </c>
      <c r="I70" s="1427"/>
      <c r="J70" s="1428"/>
      <c r="K70" s="1419">
        <f t="shared" si="11"/>
        <v>14.410716000000001</v>
      </c>
      <c r="L70" s="1418">
        <v>0.94</v>
      </c>
      <c r="M70" s="1420">
        <f t="shared" si="10"/>
        <v>16.119826917599998</v>
      </c>
      <c r="N70" s="2573"/>
      <c r="O70" s="2553" t="s">
        <v>1360</v>
      </c>
      <c r="P70" s="461"/>
      <c r="Q70" s="747"/>
      <c r="R70"/>
      <c r="S70"/>
      <c r="T70"/>
      <c r="U70"/>
      <c r="V70"/>
      <c r="W70"/>
      <c r="X70"/>
      <c r="Y70"/>
      <c r="AA70" s="1422">
        <f t="shared" si="17"/>
        <v>0</v>
      </c>
      <c r="AB70" s="1422">
        <f t="shared" si="18"/>
        <v>0</v>
      </c>
      <c r="AC70" s="1422">
        <f t="shared" si="19"/>
        <v>0</v>
      </c>
      <c r="AD70" s="1423">
        <f t="shared" si="9"/>
        <v>0</v>
      </c>
    </row>
    <row r="71" spans="1:30" s="436" customFormat="1" ht="18" customHeight="1" x14ac:dyDescent="0.25">
      <c r="B71" s="2571">
        <f t="shared" si="8"/>
        <v>46</v>
      </c>
      <c r="C71" s="1751" t="s">
        <v>624</v>
      </c>
      <c r="D71" s="1750" t="s">
        <v>5</v>
      </c>
      <c r="E71" s="1752"/>
      <c r="F71" s="1755">
        <v>5</v>
      </c>
      <c r="G71" s="1754">
        <f>IF(F71=0,0,VLOOKUP(Arbeitsgänge!F71,$B$13:$M$19,3))</f>
        <v>67</v>
      </c>
      <c r="H71" s="1753"/>
      <c r="I71" s="1427" t="s">
        <v>28</v>
      </c>
      <c r="J71" s="1428"/>
      <c r="K71" s="1419">
        <f t="shared" si="11"/>
        <v>14.404349243697478</v>
      </c>
      <c r="L71" s="1418">
        <v>2.5</v>
      </c>
      <c r="M71" s="1420">
        <f t="shared" si="10"/>
        <v>42.852938999999999</v>
      </c>
      <c r="N71" s="2573"/>
      <c r="O71" s="2553" t="s">
        <v>538</v>
      </c>
      <c r="P71" s="461"/>
      <c r="Q71" s="747"/>
      <c r="R71"/>
      <c r="S71" s="747"/>
      <c r="T71"/>
      <c r="U71"/>
      <c r="V71"/>
      <c r="W71"/>
      <c r="X71"/>
      <c r="Y71"/>
      <c r="AA71" s="1422">
        <f t="shared" si="17"/>
        <v>1</v>
      </c>
      <c r="AB71" s="1422">
        <f t="shared" si="18"/>
        <v>0</v>
      </c>
      <c r="AC71" s="1422">
        <f t="shared" si="19"/>
        <v>0</v>
      </c>
      <c r="AD71" s="1423">
        <f t="shared" si="9"/>
        <v>1</v>
      </c>
    </row>
    <row r="72" spans="1:30" s="436" customFormat="1" ht="18" customHeight="1" x14ac:dyDescent="0.25">
      <c r="B72" s="2571">
        <f t="shared" si="8"/>
        <v>47</v>
      </c>
      <c r="C72" s="1751" t="s">
        <v>625</v>
      </c>
      <c r="D72" s="1750" t="s">
        <v>5</v>
      </c>
      <c r="E72" s="1752">
        <v>227.5</v>
      </c>
      <c r="F72" s="1755"/>
      <c r="G72" s="1754">
        <f>IF(F72=0,0,VLOOKUP(Arbeitsgänge!F72,$B$13:$M$19,3))</f>
        <v>0</v>
      </c>
      <c r="H72" s="1753"/>
      <c r="I72" s="1427"/>
      <c r="J72" s="1428"/>
      <c r="K72" s="1419">
        <f t="shared" si="11"/>
        <v>0</v>
      </c>
      <c r="L72" s="1418">
        <v>1.5</v>
      </c>
      <c r="M72" s="1420">
        <f t="shared" si="10"/>
        <v>270.72500000000002</v>
      </c>
      <c r="N72" s="2573"/>
      <c r="O72" s="2553" t="s">
        <v>539</v>
      </c>
      <c r="P72" s="461"/>
      <c r="Q72" s="747"/>
      <c r="R72"/>
      <c r="S72" s="747"/>
      <c r="T72"/>
      <c r="U72"/>
      <c r="V72"/>
      <c r="W72"/>
      <c r="X72"/>
      <c r="Y72"/>
      <c r="AA72" s="1422">
        <f t="shared" si="17"/>
        <v>0</v>
      </c>
      <c r="AB72" s="1422">
        <f t="shared" si="18"/>
        <v>0</v>
      </c>
      <c r="AC72" s="1422">
        <f t="shared" si="19"/>
        <v>0</v>
      </c>
      <c r="AD72" s="1423">
        <f t="shared" si="9"/>
        <v>0</v>
      </c>
    </row>
    <row r="73" spans="1:30" s="436" customFormat="1" ht="18" customHeight="1" x14ac:dyDescent="0.25">
      <c r="B73" s="2571">
        <f t="shared" si="8"/>
        <v>48</v>
      </c>
      <c r="C73" s="1751" t="s">
        <v>638</v>
      </c>
      <c r="D73" s="1750" t="s">
        <v>5</v>
      </c>
      <c r="E73" s="1752">
        <v>10</v>
      </c>
      <c r="F73" s="1755">
        <v>2</v>
      </c>
      <c r="G73" s="1754">
        <f>IF(F73=0,0,VLOOKUP(Arbeitsgänge!F73,$B$13:$M$19,3))</f>
        <v>120</v>
      </c>
      <c r="H73" s="1753"/>
      <c r="I73" s="1427" t="s">
        <v>28</v>
      </c>
      <c r="J73" s="1428"/>
      <c r="K73" s="1419">
        <f t="shared" si="11"/>
        <v>19.310447058823527</v>
      </c>
      <c r="L73" s="1418">
        <v>2.5</v>
      </c>
      <c r="M73" s="1420">
        <f t="shared" si="10"/>
        <v>69.348579999999998</v>
      </c>
      <c r="N73" s="2573"/>
      <c r="O73" s="2553" t="s">
        <v>538</v>
      </c>
      <c r="P73" s="461"/>
      <c r="Q73" s="747"/>
      <c r="R73"/>
      <c r="S73" s="747"/>
      <c r="T73"/>
      <c r="U73"/>
      <c r="V73"/>
      <c r="W73"/>
      <c r="X73"/>
      <c r="Y73"/>
      <c r="AA73" s="1422">
        <f t="shared" ref="AA73:AC74" si="20">IF(I73="x",1,0)</f>
        <v>1</v>
      </c>
      <c r="AB73" s="1422">
        <f t="shared" si="20"/>
        <v>0</v>
      </c>
      <c r="AC73" s="1422">
        <f t="shared" si="20"/>
        <v>0</v>
      </c>
      <c r="AD73" s="1423">
        <f t="shared" si="9"/>
        <v>1</v>
      </c>
    </row>
    <row r="74" spans="1:30" s="436" customFormat="1" ht="18" hidden="1" customHeight="1" x14ac:dyDescent="0.25">
      <c r="A74" s="827"/>
      <c r="B74" s="2571">
        <f t="shared" si="8"/>
        <v>49</v>
      </c>
      <c r="C74" s="3080"/>
      <c r="D74" s="1750" t="s">
        <v>5</v>
      </c>
      <c r="E74" s="1752"/>
      <c r="F74" s="1755"/>
      <c r="G74" s="1754">
        <f>IF(F74=0,0,VLOOKUP(Arbeitsgänge!F74,$B$13:$M$19,3))</f>
        <v>0</v>
      </c>
      <c r="H74" s="1753"/>
      <c r="I74" s="1427"/>
      <c r="J74" s="1428"/>
      <c r="K74" s="1419">
        <f t="shared" si="11"/>
        <v>0</v>
      </c>
      <c r="L74" s="1418"/>
      <c r="M74" s="1420">
        <f t="shared" si="10"/>
        <v>0</v>
      </c>
      <c r="N74" s="2573"/>
      <c r="O74" s="2553"/>
      <c r="P74" s="461"/>
      <c r="Q74" s="747"/>
      <c r="R74"/>
      <c r="S74"/>
      <c r="T74"/>
      <c r="U74"/>
      <c r="V74"/>
      <c r="W74"/>
      <c r="X74"/>
      <c r="Y74"/>
      <c r="AA74" s="1422">
        <f t="shared" si="20"/>
        <v>0</v>
      </c>
      <c r="AB74" s="1422">
        <f t="shared" si="20"/>
        <v>0</v>
      </c>
      <c r="AC74" s="1422">
        <f t="shared" si="20"/>
        <v>0</v>
      </c>
      <c r="AD74" s="1423">
        <f t="shared" si="9"/>
        <v>0</v>
      </c>
    </row>
    <row r="75" spans="1:30" s="436" customFormat="1" ht="16.5" customHeight="1" x14ac:dyDescent="0.25">
      <c r="B75" s="2571">
        <f t="shared" si="8"/>
        <v>50</v>
      </c>
      <c r="C75" s="1751" t="s">
        <v>927</v>
      </c>
      <c r="D75" s="1750" t="s">
        <v>5</v>
      </c>
      <c r="E75" s="1752">
        <f>0.02*10*20</f>
        <v>4</v>
      </c>
      <c r="F75" s="1755">
        <v>3</v>
      </c>
      <c r="G75" s="1754">
        <f>IF(F75=0,0,VLOOKUP(Arbeitsgänge!F75,$B$13:$M$19,3))</f>
        <v>102</v>
      </c>
      <c r="H75" s="1753" t="s">
        <v>28</v>
      </c>
      <c r="I75" s="1427"/>
      <c r="J75" s="1428"/>
      <c r="K75" s="1419">
        <f>0.05*50</f>
        <v>2.5</v>
      </c>
      <c r="L75" s="1418">
        <f>0.05*20/(13.5/10)</f>
        <v>0.7407407407407407</v>
      </c>
      <c r="M75" s="1420">
        <f t="shared" si="10"/>
        <v>6.9637037037037031</v>
      </c>
      <c r="N75" s="405"/>
      <c r="O75" s="2553" t="s">
        <v>1361</v>
      </c>
      <c r="P75" s="461"/>
      <c r="Q75" s="747"/>
      <c r="R75"/>
      <c r="S75"/>
      <c r="T75"/>
      <c r="U75"/>
      <c r="V75"/>
      <c r="W75"/>
      <c r="X75"/>
      <c r="Y75"/>
      <c r="AA75" s="1422">
        <f t="shared" ref="AA75:AC78" si="21">IF(I75="x",1,0)</f>
        <v>0</v>
      </c>
      <c r="AB75" s="1422">
        <f t="shared" si="21"/>
        <v>0</v>
      </c>
      <c r="AC75" s="1422">
        <f t="shared" si="21"/>
        <v>0</v>
      </c>
      <c r="AD75" s="1423">
        <f t="shared" si="9"/>
        <v>0</v>
      </c>
    </row>
    <row r="76" spans="1:30" s="436" customFormat="1" ht="16.5" customHeight="1" x14ac:dyDescent="0.25">
      <c r="B76" s="2571">
        <f t="shared" si="8"/>
        <v>51</v>
      </c>
      <c r="C76" s="1751" t="s">
        <v>928</v>
      </c>
      <c r="D76" s="1750" t="s">
        <v>5</v>
      </c>
      <c r="E76" s="1752">
        <v>0.8</v>
      </c>
      <c r="F76" s="1755">
        <v>6</v>
      </c>
      <c r="G76" s="1754">
        <f>IF(F76=0,0,VLOOKUP(Arbeitsgänge!F76,$B$13:$M$19,3))</f>
        <v>54</v>
      </c>
      <c r="H76" s="1753"/>
      <c r="I76" s="1427" t="s">
        <v>28</v>
      </c>
      <c r="J76" s="1428"/>
      <c r="K76" s="1419">
        <f>IF(I76="x",VLOOKUP(F76,$B$13:$M$19,10,FALSE),IF(H76="x",VLOOKUP(F76,$B$13:$M$19,8,FALSE),IF(J76="x",VLOOKUP(F76,$B$13:$M$19,12,FALSE),0)))</f>
        <v>11.199701176470588</v>
      </c>
      <c r="L76" s="1418">
        <v>0.27</v>
      </c>
      <c r="M76" s="1420">
        <f t="shared" si="10"/>
        <v>4.5504639880000006</v>
      </c>
      <c r="N76" s="405"/>
      <c r="O76" s="3079" t="s">
        <v>1315</v>
      </c>
      <c r="P76" s="461"/>
      <c r="Q76" s="747"/>
      <c r="R76"/>
      <c r="S76"/>
      <c r="T76"/>
      <c r="U76"/>
      <c r="V76"/>
      <c r="W76"/>
      <c r="X76"/>
      <c r="Y76"/>
      <c r="AA76" s="1422">
        <f t="shared" si="21"/>
        <v>1</v>
      </c>
      <c r="AB76" s="1422">
        <f t="shared" si="21"/>
        <v>0</v>
      </c>
      <c r="AC76" s="1422">
        <f t="shared" si="21"/>
        <v>0</v>
      </c>
      <c r="AD76" s="1423">
        <f t="shared" si="9"/>
        <v>1</v>
      </c>
    </row>
    <row r="77" spans="1:30" s="436" customFormat="1" ht="16.5" customHeight="1" thickBot="1" x14ac:dyDescent="0.3">
      <c r="B77" s="2576">
        <f>B76+1</f>
        <v>52</v>
      </c>
      <c r="C77" s="1751" t="s">
        <v>929</v>
      </c>
      <c r="D77" s="1750" t="s">
        <v>5</v>
      </c>
      <c r="E77" s="1752">
        <v>0.8</v>
      </c>
      <c r="F77" s="1755">
        <v>4</v>
      </c>
      <c r="G77" s="1754">
        <f>IF(F77=0,0,VLOOKUP(Arbeitsgänge!F77,$B$13:$M$19,3))</f>
        <v>83</v>
      </c>
      <c r="H77" s="1753" t="s">
        <v>28</v>
      </c>
      <c r="I77" s="1427"/>
      <c r="J77" s="1428"/>
      <c r="K77" s="1419">
        <f>IF(I77="x",VLOOKUP(F77,$B$13:$M$19,10,FALSE),IF(H77="x",VLOOKUP(F77,$B$13:$M$19,8,FALSE),IF(J77="x",VLOOKUP(F77,$B$13:$M$19,12,FALSE),0)))</f>
        <v>12.68856682352941</v>
      </c>
      <c r="L77" s="1418">
        <v>0.19</v>
      </c>
      <c r="M77" s="1420">
        <f t="shared" si="10"/>
        <v>3.8208849587999998</v>
      </c>
      <c r="N77" s="405"/>
      <c r="O77" s="3079" t="s">
        <v>1315</v>
      </c>
      <c r="P77" s="461"/>
      <c r="Q77" s="747"/>
      <c r="R77"/>
      <c r="S77"/>
      <c r="T77"/>
      <c r="U77"/>
      <c r="V77"/>
      <c r="W77"/>
      <c r="X77"/>
      <c r="Y77"/>
      <c r="AA77" s="1422">
        <f t="shared" si="21"/>
        <v>0</v>
      </c>
      <c r="AB77" s="1422">
        <f t="shared" si="21"/>
        <v>0</v>
      </c>
      <c r="AC77" s="1422">
        <f t="shared" si="21"/>
        <v>0</v>
      </c>
      <c r="AD77" s="1423">
        <f t="shared" si="9"/>
        <v>0</v>
      </c>
    </row>
    <row r="78" spans="1:30" s="436" customFormat="1" ht="16.5" customHeight="1" x14ac:dyDescent="0.2">
      <c r="B78" s="449"/>
      <c r="C78" s="1751" t="s">
        <v>929</v>
      </c>
      <c r="D78" s="1750" t="s">
        <v>5</v>
      </c>
      <c r="E78" s="1752">
        <v>0.8</v>
      </c>
      <c r="F78" s="1755">
        <v>4</v>
      </c>
      <c r="G78" s="1754">
        <f>IF(F78=0,0,VLOOKUP(Arbeitsgänge!F78,$B$13:$M$19,3))</f>
        <v>83</v>
      </c>
      <c r="H78" s="1753" t="s">
        <v>28</v>
      </c>
      <c r="I78" s="1427"/>
      <c r="J78" s="1428"/>
      <c r="K78" s="1419">
        <f>IF(I78="x",VLOOKUP(F78,$B$13:$M$19,10,FALSE),IF(H78="x",VLOOKUP(F78,$B$13:$M$19,8,FALSE),IF(J78="x",VLOOKUP(F78,$B$13:$M$19,12,FALSE),0)))</f>
        <v>12.68856682352941</v>
      </c>
      <c r="L78" s="1418">
        <v>0.2</v>
      </c>
      <c r="M78" s="1420">
        <f>(K78*L78+E78)*(100+$F$6)*0.01</f>
        <v>3.9718789040000004</v>
      </c>
      <c r="N78" s="405"/>
      <c r="O78" s="3079" t="s">
        <v>1315</v>
      </c>
      <c r="P78" s="461"/>
      <c r="Q78" s="770"/>
      <c r="R78" s="770"/>
      <c r="S78" s="2573"/>
      <c r="T78"/>
      <c r="U78"/>
      <c r="V78"/>
      <c r="W78"/>
      <c r="X78"/>
      <c r="Y78"/>
      <c r="AA78" s="1422">
        <f t="shared" si="21"/>
        <v>0</v>
      </c>
      <c r="AB78" s="1422">
        <f t="shared" si="21"/>
        <v>0</v>
      </c>
      <c r="AC78" s="1422">
        <f t="shared" si="21"/>
        <v>0</v>
      </c>
      <c r="AD78" s="1423">
        <f t="shared" si="9"/>
        <v>0</v>
      </c>
    </row>
    <row r="79" spans="1:30" s="436" customFormat="1" ht="16.5" customHeight="1" x14ac:dyDescent="0.2">
      <c r="A79"/>
      <c r="B79"/>
      <c r="C79"/>
      <c r="D79"/>
      <c r="E79"/>
      <c r="F79"/>
      <c r="G79"/>
      <c r="H79"/>
      <c r="I79"/>
      <c r="J79"/>
      <c r="K79"/>
      <c r="L79"/>
      <c r="M79"/>
      <c r="N79" s="770"/>
      <c r="O79" s="770"/>
      <c r="P79" s="770"/>
      <c r="Q79" s="770"/>
      <c r="R79" s="770"/>
      <c r="S79" s="2573"/>
      <c r="T79"/>
      <c r="U79"/>
      <c r="V79"/>
      <c r="W79"/>
      <c r="X79"/>
      <c r="Y79"/>
    </row>
    <row r="80" spans="1:30" s="436" customFormat="1" ht="16.5" customHeight="1" x14ac:dyDescent="0.2">
      <c r="A80"/>
      <c r="B80"/>
      <c r="C80"/>
      <c r="D80"/>
      <c r="E80"/>
      <c r="F80"/>
      <c r="G80"/>
      <c r="H80"/>
      <c r="I80"/>
      <c r="J80"/>
      <c r="K80"/>
      <c r="L80"/>
      <c r="M80"/>
      <c r="N80" s="449"/>
      <c r="O80" s="770"/>
      <c r="P80" s="770"/>
      <c r="Q80" s="770"/>
      <c r="R80" s="770"/>
      <c r="S80" s="770"/>
      <c r="T80" s="770"/>
    </row>
    <row r="81" spans="1:20" s="436" customFormat="1" ht="16.5" customHeight="1" x14ac:dyDescent="0.2">
      <c r="A81"/>
      <c r="B81"/>
      <c r="C81"/>
      <c r="D81"/>
      <c r="E81"/>
      <c r="F81"/>
      <c r="G81"/>
      <c r="H81"/>
      <c r="I81"/>
      <c r="J81"/>
      <c r="K81"/>
      <c r="L81"/>
      <c r="M81"/>
      <c r="N81"/>
      <c r="O81"/>
      <c r="P81" s="770"/>
      <c r="Q81" s="770"/>
      <c r="R81" s="770"/>
      <c r="S81" s="770"/>
      <c r="T81" s="770"/>
    </row>
    <row r="82" spans="1:20" s="436" customFormat="1" ht="16.5" customHeight="1" x14ac:dyDescent="0.2">
      <c r="A82"/>
      <c r="B82"/>
      <c r="C82"/>
      <c r="T82" s="770"/>
    </row>
    <row r="83" spans="1:20" x14ac:dyDescent="0.2">
      <c r="A83"/>
      <c r="B83"/>
      <c r="C83"/>
    </row>
    <row r="84" spans="1:20" x14ac:dyDescent="0.2">
      <c r="A84"/>
      <c r="B84"/>
      <c r="C84"/>
      <c r="Q84"/>
    </row>
    <row r="85" spans="1:20" x14ac:dyDescent="0.2">
      <c r="A85"/>
      <c r="B85"/>
      <c r="C85"/>
      <c r="Q85"/>
    </row>
    <row r="86" spans="1:20" x14ac:dyDescent="0.2">
      <c r="A86"/>
      <c r="B86"/>
      <c r="C86"/>
      <c r="Q86"/>
    </row>
    <row r="87" spans="1:20" x14ac:dyDescent="0.2">
      <c r="A87"/>
      <c r="B87"/>
      <c r="C87"/>
      <c r="Q87"/>
    </row>
    <row r="88" spans="1:20" x14ac:dyDescent="0.2">
      <c r="Q88"/>
    </row>
    <row r="89" spans="1:20" x14ac:dyDescent="0.2">
      <c r="Q89"/>
    </row>
    <row r="90" spans="1:20" x14ac:dyDescent="0.2">
      <c r="Q90"/>
    </row>
    <row r="91" spans="1:20" x14ac:dyDescent="0.2">
      <c r="Q91"/>
    </row>
    <row r="92" spans="1:20" x14ac:dyDescent="0.2">
      <c r="Q92"/>
    </row>
    <row r="93" spans="1:20" x14ac:dyDescent="0.2">
      <c r="Q93"/>
    </row>
    <row r="94" spans="1:20" x14ac:dyDescent="0.2">
      <c r="Q94"/>
    </row>
    <row r="95" spans="1:20" x14ac:dyDescent="0.2">
      <c r="Q95"/>
    </row>
    <row r="96" spans="1:20" x14ac:dyDescent="0.2">
      <c r="Q96"/>
    </row>
    <row r="97" spans="17:17" x14ac:dyDescent="0.2">
      <c r="Q97"/>
    </row>
    <row r="98" spans="17:17" x14ac:dyDescent="0.2">
      <c r="Q98"/>
    </row>
    <row r="99" spans="17:17" x14ac:dyDescent="0.2">
      <c r="Q99"/>
    </row>
    <row r="100" spans="17:17" x14ac:dyDescent="0.2">
      <c r="Q100"/>
    </row>
    <row r="101" spans="17:17" x14ac:dyDescent="0.2">
      <c r="Q101"/>
    </row>
    <row r="102" spans="17:17" x14ac:dyDescent="0.2">
      <c r="Q102"/>
    </row>
    <row r="103" spans="17:17" x14ac:dyDescent="0.2">
      <c r="Q103"/>
    </row>
    <row r="104" spans="17:17" x14ac:dyDescent="0.2">
      <c r="Q104"/>
    </row>
    <row r="105" spans="17:17" x14ac:dyDescent="0.2">
      <c r="Q105"/>
    </row>
    <row r="106" spans="17:17" x14ac:dyDescent="0.2">
      <c r="Q106"/>
    </row>
    <row r="107" spans="17:17" x14ac:dyDescent="0.2">
      <c r="Q107"/>
    </row>
    <row r="108" spans="17:17" x14ac:dyDescent="0.2">
      <c r="Q108"/>
    </row>
    <row r="109" spans="17:17" x14ac:dyDescent="0.2">
      <c r="Q109"/>
    </row>
    <row r="110" spans="17:17" x14ac:dyDescent="0.2">
      <c r="Q110"/>
    </row>
    <row r="111" spans="17:17" x14ac:dyDescent="0.2">
      <c r="Q111"/>
    </row>
    <row r="112" spans="17:17" x14ac:dyDescent="0.2">
      <c r="Q112"/>
    </row>
    <row r="113" spans="17:17" x14ac:dyDescent="0.2">
      <c r="Q113"/>
    </row>
    <row r="114" spans="17:17" x14ac:dyDescent="0.2">
      <c r="Q114"/>
    </row>
    <row r="115" spans="17:17" x14ac:dyDescent="0.2">
      <c r="Q115"/>
    </row>
    <row r="116" spans="17:17" x14ac:dyDescent="0.2">
      <c r="Q116"/>
    </row>
    <row r="117" spans="17:17" x14ac:dyDescent="0.2">
      <c r="Q117"/>
    </row>
    <row r="118" spans="17:17" x14ac:dyDescent="0.2">
      <c r="Q118"/>
    </row>
    <row r="119" spans="17:17" x14ac:dyDescent="0.2">
      <c r="Q119"/>
    </row>
    <row r="120" spans="17:17" x14ac:dyDescent="0.2">
      <c r="Q120"/>
    </row>
    <row r="121" spans="17:17" x14ac:dyDescent="0.2">
      <c r="Q121"/>
    </row>
    <row r="122" spans="17:17" x14ac:dyDescent="0.2">
      <c r="Q122"/>
    </row>
    <row r="123" spans="17:17" x14ac:dyDescent="0.2">
      <c r="Q123"/>
    </row>
    <row r="124" spans="17:17" x14ac:dyDescent="0.2">
      <c r="Q124"/>
    </row>
    <row r="125" spans="17:17" x14ac:dyDescent="0.2">
      <c r="Q125"/>
    </row>
    <row r="126" spans="17:17" x14ac:dyDescent="0.2">
      <c r="Q126"/>
    </row>
    <row r="127" spans="17:17" x14ac:dyDescent="0.2">
      <c r="Q127"/>
    </row>
    <row r="128" spans="17:17" x14ac:dyDescent="0.2">
      <c r="Q128"/>
    </row>
    <row r="129" spans="17:17" x14ac:dyDescent="0.2">
      <c r="Q129"/>
    </row>
    <row r="130" spans="17:17" x14ac:dyDescent="0.2">
      <c r="Q130"/>
    </row>
    <row r="131" spans="17:17" x14ac:dyDescent="0.2">
      <c r="Q131"/>
    </row>
    <row r="132" spans="17:17" x14ac:dyDescent="0.2">
      <c r="Q132"/>
    </row>
    <row r="133" spans="17:17" x14ac:dyDescent="0.2">
      <c r="Q133"/>
    </row>
    <row r="134" spans="17:17" x14ac:dyDescent="0.2">
      <c r="Q134"/>
    </row>
    <row r="135" spans="17:17" x14ac:dyDescent="0.2">
      <c r="Q135"/>
    </row>
    <row r="136" spans="17:17" x14ac:dyDescent="0.2">
      <c r="Q136"/>
    </row>
    <row r="137" spans="17:17" x14ac:dyDescent="0.2">
      <c r="Q137"/>
    </row>
    <row r="138" spans="17:17" x14ac:dyDescent="0.2">
      <c r="Q138"/>
    </row>
    <row r="139" spans="17:17" x14ac:dyDescent="0.2">
      <c r="Q139"/>
    </row>
    <row r="140" spans="17:17" x14ac:dyDescent="0.2">
      <c r="Q140"/>
    </row>
    <row r="141" spans="17:17" x14ac:dyDescent="0.2">
      <c r="Q141"/>
    </row>
    <row r="142" spans="17:17" x14ac:dyDescent="0.2">
      <c r="Q142"/>
    </row>
    <row r="143" spans="17:17" x14ac:dyDescent="0.2">
      <c r="Q143"/>
    </row>
    <row r="144" spans="17:17" x14ac:dyDescent="0.2">
      <c r="Q144"/>
    </row>
    <row r="145" spans="17:17" x14ac:dyDescent="0.2">
      <c r="Q145"/>
    </row>
    <row r="146" spans="17:17" x14ac:dyDescent="0.2">
      <c r="Q146"/>
    </row>
    <row r="147" spans="17:17" x14ac:dyDescent="0.2">
      <c r="Q147"/>
    </row>
  </sheetData>
  <sheetProtection sheet="1" objects="1" scenarios="1"/>
  <customSheetViews>
    <customSheetView guid="{32760361-675F-4FBF-A5CA-B0597C10371F}" scale="62" showGridLines="0" zeroValues="0" fitToPage="1" hiddenRows="1">
      <pane ySplit="25" topLeftCell="A26" activePane="bottomLeft" state="frozen"/>
      <selection pane="bottomLeft" activeCell="O17" sqref="O17"/>
      <pageMargins left="0.5" right="0.28000000000000003" top="0.54" bottom="0.5" header="0.51181102362204722" footer="0.31496062992125984"/>
      <printOptions horizontalCentered="1"/>
      <pageSetup paperSize="9" scale="59" firstPageNumber="15" fitToHeight="0" orientation="portrait" useFirstPageNumber="1" verticalDpi="360" r:id="rId1"/>
      <headerFooter alignWithMargins="0">
        <oddFooter>&amp;L&amp;12LEL Schwäbisch Gmünd (Abtlg. II)
LAZBW Aulendorf&amp;C&amp;12 19&amp;9
&amp;R&amp;12&amp;F
&amp;A</oddFooter>
      </headerFooter>
    </customSheetView>
  </customSheetViews>
  <mergeCells count="9">
    <mergeCell ref="C1:G1"/>
    <mergeCell ref="B22:C24"/>
    <mergeCell ref="D22:D25"/>
    <mergeCell ref="F22:K22"/>
    <mergeCell ref="E23:E25"/>
    <mergeCell ref="H23:J23"/>
    <mergeCell ref="K23:K25"/>
    <mergeCell ref="B8:C10"/>
    <mergeCell ref="B3:M4"/>
  </mergeCells>
  <phoneticPr fontId="0" type="noConversion"/>
  <dataValidations count="3">
    <dataValidation type="custom" errorStyle="warning" allowBlank="1" showInputMessage="1" showErrorMessage="1" errorTitle="zuviele Schlepper ausgewählt" error="es darf maximal ein Schlepper mit &quot;x&quot; ausgewählt werden.Bei Änderungen das &quot;x&quot; vorher löschen !" sqref="H26:H78">
      <formula1>AB26&lt;2</formula1>
    </dataValidation>
    <dataValidation type="custom" errorStyle="warning" allowBlank="1" showInputMessage="1" showErrorMessage="1" errorTitle="zuviele Schlepper ausgewählt" error="es darf maximal ein Schlepper mit &quot;x&quot; ausgewählt werden.Bei Änderungen das &quot;x&quot; vorher löschen !" sqref="I26:I78">
      <formula1>AB26&lt;2</formula1>
    </dataValidation>
    <dataValidation type="custom" errorStyle="warning" allowBlank="1" showInputMessage="1" showErrorMessage="1" errorTitle="zuviele Schlepper ausgewählt" error="es darf maximal ein Schlepper mit &quot;x&quot; ausgewählt werden.Bei Änderungen das &quot;x&quot; vorher löschen !" sqref="J26:J78">
      <formula1>AB26&lt;2</formula1>
    </dataValidation>
  </dataValidations>
  <hyperlinks>
    <hyperlink ref="C1:G1" location="Inhalt!A1:A10" display="zurück zum Inhaltsverzeichnis"/>
  </hyperlinks>
  <printOptions horizontalCentered="1"/>
  <pageMargins left="0.5" right="0.28000000000000003" top="0.54" bottom="0.5" header="0.51181102362204722" footer="0.31496062992125984"/>
  <pageSetup paperSize="9" scale="57" firstPageNumber="15" fitToHeight="0" orientation="portrait" useFirstPageNumber="1" verticalDpi="360" r:id="rId2"/>
  <headerFooter alignWithMargins="0">
    <oddFooter>&amp;L&amp;12LEL Schwäbisch Gmünd (Abtlg. II)
LAZBW Aulendorf&amp;C&amp;12 19&amp;9
&amp;R&amp;12&amp;F
&amp;A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6"/>
  <sheetViews>
    <sheetView showGridLines="0" topLeftCell="B1" zoomScale="84" zoomScaleNormal="84" workbookViewId="0">
      <selection activeCell="G1" sqref="G1"/>
    </sheetView>
  </sheetViews>
  <sheetFormatPr baseColWidth="10" defaultRowHeight="12.9" x14ac:dyDescent="0.2"/>
  <cols>
    <col min="1" max="1" width="4.125" customWidth="1"/>
    <col min="2" max="2" width="11.5" style="2215"/>
  </cols>
  <sheetData>
    <row r="1" spans="2:18" ht="18.350000000000001" x14ac:dyDescent="0.2">
      <c r="B1" s="3325" t="s">
        <v>176</v>
      </c>
      <c r="C1" s="3325"/>
      <c r="D1" s="3325"/>
      <c r="E1" s="3325"/>
      <c r="F1" s="3325"/>
    </row>
    <row r="2" spans="2:18" ht="23.8" x14ac:dyDescent="0.2">
      <c r="B2" s="2620" t="s">
        <v>937</v>
      </c>
      <c r="C2" s="1206"/>
      <c r="D2" s="2111"/>
      <c r="E2" s="2111"/>
      <c r="F2" s="2111"/>
      <c r="G2" s="2111"/>
      <c r="H2" s="2111"/>
      <c r="I2" s="2618"/>
      <c r="J2" s="2111"/>
      <c r="K2" s="2111"/>
      <c r="L2" s="1078" t="s">
        <v>312</v>
      </c>
      <c r="M2" s="2619">
        <f>Prämien!Y2</f>
        <v>2018</v>
      </c>
    </row>
    <row r="3" spans="2:18" ht="18.350000000000001" x14ac:dyDescent="0.2">
      <c r="B3" s="2970" t="s">
        <v>1185</v>
      </c>
      <c r="C3" s="1206"/>
      <c r="D3" s="2111"/>
      <c r="E3" s="2111"/>
      <c r="F3" s="2111"/>
      <c r="G3" s="2111"/>
      <c r="H3" s="2111"/>
      <c r="I3" s="2618"/>
      <c r="J3" s="2111"/>
      <c r="K3" s="2111"/>
      <c r="L3" s="1078"/>
      <c r="M3" s="2619"/>
      <c r="N3" s="2617" t="s">
        <v>1183</v>
      </c>
    </row>
    <row r="4" spans="2:18" ht="9.6999999999999993" customHeight="1" x14ac:dyDescent="0.2">
      <c r="B4" s="405"/>
      <c r="C4" s="1206"/>
      <c r="D4" s="2111"/>
      <c r="E4" s="2111"/>
      <c r="F4" s="2111"/>
      <c r="G4" s="2111"/>
      <c r="H4" s="2111"/>
      <c r="I4" s="2618"/>
      <c r="J4" s="2111"/>
      <c r="K4" s="2111"/>
      <c r="L4" s="1078"/>
      <c r="M4" s="2619"/>
    </row>
    <row r="5" spans="2:18" ht="14.95" customHeight="1" x14ac:dyDescent="0.2">
      <c r="B5" s="3277" t="s">
        <v>1377</v>
      </c>
      <c r="C5" s="3333"/>
      <c r="D5" s="3333"/>
      <c r="E5" s="3333"/>
      <c r="F5" s="3333"/>
      <c r="G5" s="3333"/>
      <c r="H5" s="3333"/>
      <c r="I5" s="3333"/>
      <c r="J5" s="3333"/>
      <c r="K5" s="3333"/>
      <c r="L5" s="3333"/>
      <c r="M5" s="3278"/>
    </row>
    <row r="6" spans="2:18" ht="18.7" customHeight="1" x14ac:dyDescent="0.2">
      <c r="B6" s="3334"/>
      <c r="C6" s="3255"/>
      <c r="D6" s="3255"/>
      <c r="E6" s="3255"/>
      <c r="F6" s="3255"/>
      <c r="G6" s="3255"/>
      <c r="H6" s="3255"/>
      <c r="I6" s="3255"/>
      <c r="J6" s="3255"/>
      <c r="K6" s="3255"/>
      <c r="L6" s="3255"/>
      <c r="M6" s="3335"/>
    </row>
    <row r="7" spans="2:18" ht="30.6" customHeight="1" x14ac:dyDescent="0.2">
      <c r="B7" s="3279"/>
      <c r="C7" s="3336"/>
      <c r="D7" s="3336"/>
      <c r="E7" s="3336"/>
      <c r="F7" s="3336"/>
      <c r="G7" s="3336"/>
      <c r="H7" s="3336"/>
      <c r="I7" s="3336"/>
      <c r="J7" s="3336"/>
      <c r="K7" s="3336"/>
      <c r="L7" s="3336"/>
      <c r="M7" s="3280"/>
    </row>
    <row r="8" spans="2:18" ht="15.65" customHeight="1" x14ac:dyDescent="0.25">
      <c r="B8" s="1011"/>
      <c r="C8" s="2518"/>
      <c r="D8" s="2518"/>
      <c r="E8" s="2518"/>
      <c r="F8" s="2518"/>
      <c r="G8" s="2519"/>
      <c r="H8" s="2513"/>
      <c r="I8" s="3311"/>
      <c r="J8" s="3312"/>
      <c r="K8" s="3313"/>
      <c r="L8" s="2432" t="s">
        <v>867</v>
      </c>
      <c r="M8" s="2430"/>
    </row>
    <row r="9" spans="2:18" ht="15.65" x14ac:dyDescent="0.25">
      <c r="B9" s="1382" t="s">
        <v>380</v>
      </c>
      <c r="C9" s="1383"/>
      <c r="D9" s="1383"/>
      <c r="E9" s="3329"/>
      <c r="F9" s="3329"/>
      <c r="G9" s="3330"/>
      <c r="H9" s="2514"/>
      <c r="I9" s="3326" t="s">
        <v>877</v>
      </c>
      <c r="J9" s="3327"/>
      <c r="K9" s="3328"/>
      <c r="L9" s="2433" t="s">
        <v>868</v>
      </c>
      <c r="M9" s="2431" t="s">
        <v>326</v>
      </c>
    </row>
    <row r="10" spans="2:18" ht="31.25" x14ac:dyDescent="0.25">
      <c r="B10" s="415"/>
      <c r="C10" s="1385"/>
      <c r="D10" s="1385"/>
      <c r="E10" s="3331"/>
      <c r="F10" s="3331"/>
      <c r="G10" s="3332"/>
      <c r="H10" s="2515" t="s">
        <v>1039</v>
      </c>
      <c r="I10" s="1386" t="s">
        <v>325</v>
      </c>
      <c r="J10" s="1386" t="s">
        <v>326</v>
      </c>
      <c r="K10" s="1386" t="s">
        <v>327</v>
      </c>
      <c r="L10" s="3323" t="s">
        <v>154</v>
      </c>
      <c r="M10" s="3324"/>
    </row>
    <row r="11" spans="2:18" ht="15.65" x14ac:dyDescent="0.2">
      <c r="B11" s="3318" t="s">
        <v>869</v>
      </c>
      <c r="C11" s="3319"/>
      <c r="D11" s="3319"/>
      <c r="E11" s="3319"/>
      <c r="F11" s="3319"/>
      <c r="G11" s="3319"/>
      <c r="H11" s="3319"/>
      <c r="I11" s="3319"/>
      <c r="J11" s="3319"/>
      <c r="K11" s="3319"/>
      <c r="L11" s="3319"/>
      <c r="M11" s="3320"/>
    </row>
    <row r="12" spans="2:18" ht="15.65" x14ac:dyDescent="0.25">
      <c r="B12" s="3106" t="s">
        <v>27</v>
      </c>
      <c r="C12" s="1919"/>
      <c r="D12" s="1919"/>
      <c r="E12" s="1919"/>
      <c r="F12" s="1919"/>
      <c r="G12" s="1919"/>
      <c r="H12" s="2524" t="s">
        <v>336</v>
      </c>
      <c r="I12" s="2525"/>
      <c r="J12" s="2525"/>
      <c r="K12" s="2525"/>
      <c r="L12" s="2525"/>
      <c r="M12" s="2756">
        <v>65</v>
      </c>
      <c r="P12" s="405" t="s">
        <v>1376</v>
      </c>
    </row>
    <row r="13" spans="2:18" ht="15.65" x14ac:dyDescent="0.25">
      <c r="B13" s="3104" t="s">
        <v>328</v>
      </c>
      <c r="C13" s="1387"/>
      <c r="D13" s="1387"/>
      <c r="E13" s="1387"/>
      <c r="F13" s="1387"/>
      <c r="G13" s="1387"/>
      <c r="H13" s="2514"/>
      <c r="I13" s="1388"/>
      <c r="J13" s="1388"/>
      <c r="K13" s="1388"/>
      <c r="L13" s="1388"/>
      <c r="M13" s="1384"/>
    </row>
    <row r="14" spans="2:18" ht="15.65" x14ac:dyDescent="0.25">
      <c r="B14" s="3104" t="s">
        <v>1041</v>
      </c>
      <c r="C14" s="1387"/>
      <c r="D14" s="1387"/>
      <c r="E14" s="1387"/>
      <c r="F14" s="1387"/>
      <c r="G14" s="1387"/>
      <c r="H14" s="2508" t="s">
        <v>1040</v>
      </c>
      <c r="I14" s="1389">
        <v>0.2</v>
      </c>
      <c r="J14" s="1389">
        <v>0.25</v>
      </c>
      <c r="K14" s="1389">
        <v>0.3</v>
      </c>
      <c r="L14" s="1390" t="s">
        <v>187</v>
      </c>
      <c r="M14" s="1391">
        <v>35</v>
      </c>
      <c r="P14" s="405" t="s">
        <v>1394</v>
      </c>
      <c r="R14" s="405"/>
    </row>
    <row r="15" spans="2:18" ht="15.65" x14ac:dyDescent="0.25">
      <c r="B15" s="3104" t="s">
        <v>329</v>
      </c>
      <c r="C15" s="1387"/>
      <c r="D15" s="1387"/>
      <c r="E15" s="1387"/>
      <c r="F15" s="1387"/>
      <c r="G15" s="1387"/>
      <c r="H15" s="2508" t="s">
        <v>640</v>
      </c>
      <c r="I15" s="1389">
        <v>0.17</v>
      </c>
      <c r="J15" s="1389">
        <v>0.25</v>
      </c>
      <c r="K15" s="1389">
        <v>0.3</v>
      </c>
      <c r="L15" s="1390" t="s">
        <v>188</v>
      </c>
      <c r="M15" s="1391">
        <v>15</v>
      </c>
    </row>
    <row r="16" spans="2:18" ht="15.65" x14ac:dyDescent="0.25">
      <c r="B16" s="3104" t="s">
        <v>332</v>
      </c>
      <c r="C16" s="1387"/>
      <c r="D16" s="1387"/>
      <c r="E16" s="1387"/>
      <c r="F16" s="1387"/>
      <c r="G16" s="1387"/>
      <c r="H16" s="2508"/>
      <c r="I16" s="1389"/>
      <c r="J16" s="1389"/>
      <c r="K16" s="1389"/>
      <c r="L16" s="1390"/>
      <c r="M16" s="1391"/>
    </row>
    <row r="17" spans="2:18" ht="15.65" x14ac:dyDescent="0.25">
      <c r="B17" s="3104" t="s">
        <v>331</v>
      </c>
      <c r="C17" s="1387"/>
      <c r="D17" s="1387"/>
      <c r="E17" s="1387"/>
      <c r="F17" s="1387"/>
      <c r="G17" s="1387"/>
      <c r="H17" s="2508" t="s">
        <v>641</v>
      </c>
      <c r="I17" s="1389">
        <v>0.25</v>
      </c>
      <c r="J17" s="1389">
        <v>0.3</v>
      </c>
      <c r="K17" s="1389">
        <v>0.35</v>
      </c>
      <c r="L17" s="1390" t="s">
        <v>189</v>
      </c>
      <c r="M17" s="1391">
        <v>20</v>
      </c>
    </row>
    <row r="18" spans="2:18" ht="15.65" x14ac:dyDescent="0.25">
      <c r="B18" s="3107" t="s">
        <v>330</v>
      </c>
      <c r="C18" s="1385"/>
      <c r="D18" s="1385"/>
      <c r="E18" s="1385"/>
      <c r="F18" s="1385"/>
      <c r="G18" s="1385"/>
      <c r="H18" s="2521" t="s">
        <v>642</v>
      </c>
      <c r="I18" s="1396">
        <v>0.14000000000000001</v>
      </c>
      <c r="J18" s="1396">
        <v>0.18</v>
      </c>
      <c r="K18" s="1396">
        <v>0.22</v>
      </c>
      <c r="L18" s="2522" t="s">
        <v>202</v>
      </c>
      <c r="M18" s="2523">
        <v>19</v>
      </c>
    </row>
    <row r="19" spans="2:18" ht="15.65" x14ac:dyDescent="0.25">
      <c r="B19" s="3104" t="s">
        <v>321</v>
      </c>
      <c r="C19" s="1387"/>
      <c r="D19" s="1387"/>
      <c r="E19" s="1387"/>
      <c r="F19" s="1387"/>
      <c r="G19" s="1387"/>
      <c r="H19" s="2508" t="s">
        <v>643</v>
      </c>
      <c r="I19" s="1389">
        <v>0.33</v>
      </c>
      <c r="J19" s="1389">
        <v>0.38</v>
      </c>
      <c r="K19" s="1389">
        <v>0.42</v>
      </c>
      <c r="L19" s="1390" t="s">
        <v>193</v>
      </c>
      <c r="M19" s="1391">
        <v>60</v>
      </c>
    </row>
    <row r="20" spans="2:18" ht="15.65" x14ac:dyDescent="0.25">
      <c r="B20" s="3107"/>
      <c r="C20" s="1385" t="s">
        <v>273</v>
      </c>
      <c r="D20" s="1385"/>
      <c r="E20" s="1385"/>
      <c r="F20" s="1385"/>
      <c r="G20" s="1385"/>
      <c r="H20" s="2521" t="s">
        <v>644</v>
      </c>
      <c r="I20" s="1396">
        <v>0.25</v>
      </c>
      <c r="J20" s="1396">
        <v>0.3</v>
      </c>
      <c r="K20" s="1396">
        <v>0.35</v>
      </c>
      <c r="L20" s="2522" t="s">
        <v>201</v>
      </c>
      <c r="M20" s="2523">
        <v>50</v>
      </c>
    </row>
    <row r="21" spans="2:18" ht="15.65" x14ac:dyDescent="0.25">
      <c r="B21" s="3104" t="s">
        <v>190</v>
      </c>
      <c r="C21" s="1387"/>
      <c r="D21" s="1387"/>
      <c r="E21" s="1387"/>
      <c r="F21" s="1387"/>
      <c r="G21" s="1387"/>
      <c r="H21" s="2508"/>
      <c r="I21" s="1392"/>
      <c r="J21" s="1392"/>
      <c r="K21" s="1392"/>
      <c r="L21" s="1390"/>
      <c r="M21" s="1393"/>
    </row>
    <row r="22" spans="2:18" ht="15.65" x14ac:dyDescent="0.25">
      <c r="B22" s="3104" t="s">
        <v>322</v>
      </c>
      <c r="C22" s="1387"/>
      <c r="D22" s="1387"/>
      <c r="E22" s="1387"/>
      <c r="F22" s="1387" t="s">
        <v>323</v>
      </c>
      <c r="H22" s="2508" t="s">
        <v>1112</v>
      </c>
      <c r="I22" s="1389">
        <v>0.3</v>
      </c>
      <c r="J22" s="1389">
        <v>0.4</v>
      </c>
      <c r="K22" s="1389">
        <v>0.45</v>
      </c>
      <c r="L22" s="1390" t="s">
        <v>1114</v>
      </c>
      <c r="M22" s="1391">
        <v>40</v>
      </c>
    </row>
    <row r="23" spans="2:18" ht="15.65" x14ac:dyDescent="0.25">
      <c r="B23" s="3107"/>
      <c r="C23" s="1385"/>
      <c r="D23" s="1385"/>
      <c r="E23" s="1385"/>
      <c r="F23" s="1385" t="s">
        <v>273</v>
      </c>
      <c r="G23" s="36"/>
      <c r="H23" s="2521"/>
      <c r="I23" s="1396">
        <v>0.25</v>
      </c>
      <c r="J23" s="1396">
        <v>0.3</v>
      </c>
      <c r="K23" s="1396">
        <v>0.4</v>
      </c>
      <c r="L23" s="2522" t="s">
        <v>1113</v>
      </c>
      <c r="M23" s="2523">
        <v>35</v>
      </c>
    </row>
    <row r="24" spans="2:18" ht="15.65" x14ac:dyDescent="0.25">
      <c r="B24" s="3104" t="s">
        <v>324</v>
      </c>
      <c r="C24" s="1387"/>
      <c r="D24" s="1387"/>
      <c r="E24" s="1387"/>
      <c r="F24" s="1387" t="s">
        <v>323</v>
      </c>
      <c r="H24" s="2508" t="s">
        <v>639</v>
      </c>
      <c r="I24" s="1389">
        <v>0.4</v>
      </c>
      <c r="J24" s="1389">
        <v>0.5</v>
      </c>
      <c r="K24" s="1389">
        <v>0.6</v>
      </c>
      <c r="L24" s="1390" t="s">
        <v>191</v>
      </c>
      <c r="M24" s="1391">
        <v>38</v>
      </c>
      <c r="O24" s="2215"/>
    </row>
    <row r="25" spans="2:18" ht="15.65" x14ac:dyDescent="0.25">
      <c r="B25" s="3104"/>
      <c r="C25" s="1387"/>
      <c r="D25" s="1387"/>
      <c r="E25" s="1387"/>
      <c r="F25" s="1387" t="s">
        <v>273</v>
      </c>
      <c r="G25" s="163"/>
      <c r="H25" s="2508"/>
      <c r="I25" s="1389">
        <v>0.3</v>
      </c>
      <c r="J25" s="1389">
        <v>0.4</v>
      </c>
      <c r="K25" s="1389">
        <v>0.5</v>
      </c>
      <c r="L25" s="1390" t="s">
        <v>192</v>
      </c>
      <c r="M25" s="1391">
        <v>28</v>
      </c>
    </row>
    <row r="26" spans="2:18" ht="15.65" x14ac:dyDescent="0.25">
      <c r="B26" s="3107" t="s">
        <v>333</v>
      </c>
      <c r="C26" s="1385"/>
      <c r="D26" s="1385"/>
      <c r="E26" s="1385"/>
      <c r="F26" s="1385"/>
      <c r="G26" s="1385"/>
      <c r="H26" s="2521" t="s">
        <v>645</v>
      </c>
      <c r="I26" s="1396"/>
      <c r="J26" s="1396">
        <v>0.5</v>
      </c>
      <c r="K26" s="1396"/>
      <c r="L26" s="2522"/>
      <c r="M26" s="2523">
        <v>8</v>
      </c>
    </row>
    <row r="27" spans="2:18" ht="15.65" x14ac:dyDescent="0.25">
      <c r="B27" s="3104" t="s">
        <v>197</v>
      </c>
      <c r="C27" s="1387"/>
      <c r="D27" s="1387"/>
      <c r="E27" s="1387"/>
      <c r="F27" s="1387"/>
      <c r="G27" s="1387"/>
      <c r="H27" s="2509" t="s">
        <v>646</v>
      </c>
      <c r="I27" s="1389">
        <v>1.1000000000000001</v>
      </c>
      <c r="J27" s="1389">
        <v>1</v>
      </c>
      <c r="K27" s="1389">
        <v>0.9</v>
      </c>
      <c r="L27" s="1390" t="s">
        <v>196</v>
      </c>
      <c r="M27" s="1394" t="s">
        <v>195</v>
      </c>
    </row>
    <row r="28" spans="2:18" ht="15.65" x14ac:dyDescent="0.2">
      <c r="B28" s="3105" t="s">
        <v>1395</v>
      </c>
      <c r="C28" s="2516"/>
      <c r="D28" s="2516"/>
      <c r="E28" s="2516"/>
      <c r="F28" s="2516"/>
      <c r="G28" s="2516"/>
      <c r="H28" s="2516"/>
      <c r="I28" s="2516"/>
      <c r="J28" s="2516"/>
      <c r="K28" s="2516"/>
      <c r="L28" s="2516"/>
      <c r="M28" s="2516"/>
    </row>
    <row r="29" spans="2:18" ht="12.9" customHeight="1" x14ac:dyDescent="0.25">
      <c r="B29" s="3104" t="s">
        <v>872</v>
      </c>
      <c r="C29" s="1387"/>
      <c r="D29" s="1387"/>
      <c r="E29" s="1387"/>
      <c r="F29" s="1387"/>
      <c r="G29" s="1387"/>
      <c r="H29" s="2508"/>
      <c r="I29" s="1389"/>
      <c r="J29" s="1389"/>
      <c r="K29" s="1389"/>
      <c r="L29" s="1390"/>
      <c r="M29" s="1391"/>
      <c r="O29" s="405"/>
    </row>
    <row r="30" spans="2:18" ht="13.6" customHeight="1" x14ac:dyDescent="0.25">
      <c r="B30" s="3093"/>
      <c r="C30" s="1387"/>
      <c r="D30" s="1387"/>
      <c r="E30" s="1387"/>
      <c r="F30" s="1387" t="s">
        <v>873</v>
      </c>
      <c r="G30" s="2517"/>
      <c r="H30" s="2508"/>
      <c r="I30" s="1389"/>
      <c r="J30" s="1389"/>
      <c r="K30" s="1389"/>
      <c r="L30" s="1390"/>
      <c r="M30" s="1394" t="s">
        <v>204</v>
      </c>
      <c r="O30" s="405"/>
      <c r="P30" s="405" t="s">
        <v>1394</v>
      </c>
      <c r="R30" s="405"/>
    </row>
    <row r="31" spans="2:18" ht="18.350000000000001" x14ac:dyDescent="0.25">
      <c r="B31" s="3093"/>
      <c r="C31" s="1387"/>
      <c r="D31" s="1387"/>
      <c r="E31" s="1387"/>
      <c r="F31" s="1387" t="s">
        <v>874</v>
      </c>
      <c r="G31" s="2517"/>
      <c r="H31" s="2508"/>
      <c r="I31" s="1389"/>
      <c r="J31" s="1389"/>
      <c r="K31" s="1389"/>
      <c r="L31" s="1390"/>
      <c r="M31" s="1394" t="s">
        <v>194</v>
      </c>
      <c r="R31" s="405"/>
    </row>
    <row r="32" spans="2:18" ht="15.65" x14ac:dyDescent="0.2">
      <c r="B32" s="3095" t="s">
        <v>1228</v>
      </c>
      <c r="C32" s="2516"/>
      <c r="D32" s="2516"/>
      <c r="E32" s="2516"/>
      <c r="F32" s="2516"/>
      <c r="G32" s="2516"/>
      <c r="H32" s="2516"/>
      <c r="I32" s="2516"/>
      <c r="J32" s="2516" t="s">
        <v>418</v>
      </c>
      <c r="K32" s="2516"/>
      <c r="L32" s="2516"/>
      <c r="M32" s="2516"/>
      <c r="R32" s="405"/>
    </row>
    <row r="33" spans="2:20" ht="15.65" x14ac:dyDescent="0.25">
      <c r="B33" s="3093" t="s">
        <v>1229</v>
      </c>
      <c r="C33" s="1387"/>
      <c r="D33" s="1387"/>
      <c r="E33" s="1387"/>
      <c r="F33" s="1387"/>
      <c r="G33" s="1387"/>
      <c r="H33" s="2508" t="s">
        <v>673</v>
      </c>
      <c r="I33" s="1411">
        <v>80</v>
      </c>
      <c r="J33" s="1411">
        <v>100</v>
      </c>
      <c r="K33" s="1411">
        <v>120</v>
      </c>
      <c r="L33" s="1390" t="s">
        <v>1231</v>
      </c>
      <c r="M33" s="1394" t="s">
        <v>1230</v>
      </c>
      <c r="R33" s="405"/>
    </row>
    <row r="34" spans="2:20" ht="15.65" x14ac:dyDescent="0.2">
      <c r="B34" s="3318" t="s">
        <v>870</v>
      </c>
      <c r="C34" s="3319"/>
      <c r="D34" s="3319"/>
      <c r="E34" s="3319"/>
      <c r="F34" s="3319"/>
      <c r="G34" s="3319"/>
      <c r="H34" s="3319"/>
      <c r="I34" s="3319"/>
      <c r="J34" s="3319"/>
      <c r="K34" s="3319"/>
      <c r="L34" s="3319"/>
      <c r="M34" s="3320"/>
    </row>
    <row r="35" spans="2:20" ht="15.65" x14ac:dyDescent="0.25">
      <c r="B35" s="3103" t="s">
        <v>636</v>
      </c>
      <c r="C35" s="1387"/>
      <c r="D35" s="1387"/>
      <c r="E35" s="1387"/>
      <c r="F35" s="1387"/>
      <c r="G35" s="1387"/>
      <c r="H35" s="2508"/>
      <c r="I35" s="1389">
        <v>0.37</v>
      </c>
      <c r="J35" s="1389">
        <v>0.53</v>
      </c>
      <c r="K35" s="1389">
        <v>0.8</v>
      </c>
      <c r="L35" s="1390"/>
      <c r="M35" s="1391">
        <f>27.6+23.9*0.53</f>
        <v>40.267000000000003</v>
      </c>
      <c r="P35" t="s">
        <v>1378</v>
      </c>
      <c r="R35" t="s">
        <v>1379</v>
      </c>
    </row>
    <row r="36" spans="2:20" ht="15.65" x14ac:dyDescent="0.25">
      <c r="B36" s="3104" t="s">
        <v>337</v>
      </c>
      <c r="C36" s="1387"/>
      <c r="D36" s="1387"/>
      <c r="E36" s="1387"/>
      <c r="F36" s="1387"/>
      <c r="G36" s="1387"/>
      <c r="H36" s="2510"/>
      <c r="I36" s="1389"/>
      <c r="J36" s="1389"/>
      <c r="K36" s="1389"/>
      <c r="L36" s="1395"/>
      <c r="M36" s="1391">
        <f>33.1+49.95*1.42</f>
        <v>104.029</v>
      </c>
      <c r="P36" t="s">
        <v>1381</v>
      </c>
      <c r="R36" t="s">
        <v>1380</v>
      </c>
    </row>
    <row r="37" spans="2:20" ht="15.65" x14ac:dyDescent="0.25">
      <c r="B37" s="3104" t="s">
        <v>1382</v>
      </c>
      <c r="C37" s="1387"/>
      <c r="D37" s="1387"/>
      <c r="E37" s="1387"/>
      <c r="F37" s="1387"/>
      <c r="G37" s="1387"/>
      <c r="H37" s="2510"/>
      <c r="I37" s="1395"/>
      <c r="J37" s="1395"/>
      <c r="K37" s="1395"/>
      <c r="L37" s="1395"/>
      <c r="M37" s="1391">
        <v>40</v>
      </c>
      <c r="P37" t="s">
        <v>1381</v>
      </c>
      <c r="R37" s="405" t="s">
        <v>1383</v>
      </c>
      <c r="T37">
        <v>50</v>
      </c>
    </row>
    <row r="38" spans="2:20" ht="15.65" x14ac:dyDescent="0.25">
      <c r="B38" s="3104" t="s">
        <v>54</v>
      </c>
      <c r="C38" s="1387"/>
      <c r="D38" s="1387"/>
      <c r="E38" s="1387"/>
      <c r="F38" s="1387"/>
      <c r="G38" s="1387"/>
      <c r="H38" s="2510"/>
      <c r="I38" s="1389"/>
      <c r="J38" s="1389"/>
      <c r="K38" s="1389"/>
      <c r="L38" s="1395"/>
      <c r="M38" s="1391">
        <f>22.1+35.8*1.01</f>
        <v>58.257999999999996</v>
      </c>
      <c r="P38" s="405" t="s">
        <v>1384</v>
      </c>
      <c r="R38" s="405" t="s">
        <v>1385</v>
      </c>
    </row>
    <row r="39" spans="2:20" ht="15.65" x14ac:dyDescent="0.25">
      <c r="B39" s="3104" t="s">
        <v>55</v>
      </c>
      <c r="C39" s="1387"/>
      <c r="D39" s="1387"/>
      <c r="E39" s="1387"/>
      <c r="F39" s="1387"/>
      <c r="G39" s="1387"/>
      <c r="H39" s="2511"/>
      <c r="I39" s="1389"/>
      <c r="J39" s="1389"/>
      <c r="K39" s="1389"/>
      <c r="L39" s="1395"/>
      <c r="M39" s="1391"/>
    </row>
    <row r="40" spans="2:20" ht="15.65" x14ac:dyDescent="0.25">
      <c r="B40" s="3094"/>
      <c r="C40" s="1385"/>
      <c r="D40" s="1385"/>
      <c r="E40" s="1385"/>
      <c r="F40" s="1385"/>
      <c r="G40" s="1385"/>
      <c r="H40" s="2512"/>
      <c r="I40" s="1396">
        <v>1</v>
      </c>
      <c r="J40" s="1396">
        <v>1.2</v>
      </c>
      <c r="K40" s="1396">
        <v>1.4</v>
      </c>
      <c r="L40" s="1397" t="s">
        <v>25</v>
      </c>
      <c r="M40" s="1391" t="s">
        <v>26</v>
      </c>
    </row>
    <row r="41" spans="2:20" ht="15.65" x14ac:dyDescent="0.25">
      <c r="B41" s="3104" t="s">
        <v>334</v>
      </c>
      <c r="C41" s="1387"/>
      <c r="D41" s="1387"/>
      <c r="E41" s="1387"/>
      <c r="F41" s="1387"/>
      <c r="G41" s="1387"/>
      <c r="H41" s="2508" t="s">
        <v>1389</v>
      </c>
      <c r="I41" s="1388"/>
      <c r="J41" s="1388"/>
      <c r="K41" s="1388"/>
      <c r="L41" s="1390"/>
      <c r="M41" s="1391"/>
      <c r="P41" s="405" t="s">
        <v>1390</v>
      </c>
      <c r="R41" s="405" t="s">
        <v>1391</v>
      </c>
    </row>
    <row r="42" spans="2:20" ht="15.65" x14ac:dyDescent="0.25">
      <c r="B42" s="3093"/>
      <c r="C42" s="1387"/>
      <c r="D42" s="1387"/>
      <c r="E42" s="1387"/>
      <c r="F42" s="1387"/>
      <c r="G42" s="1387"/>
      <c r="H42" s="2508" t="s">
        <v>647</v>
      </c>
      <c r="I42" s="1389">
        <v>0.85</v>
      </c>
      <c r="J42" s="1389">
        <v>0.95</v>
      </c>
      <c r="K42" s="1389">
        <v>1.05</v>
      </c>
      <c r="L42" s="1390" t="s">
        <v>198</v>
      </c>
      <c r="M42" s="1391">
        <v>175</v>
      </c>
    </row>
    <row r="43" spans="2:20" ht="15.65" x14ac:dyDescent="0.25">
      <c r="B43" s="3104" t="s">
        <v>335</v>
      </c>
      <c r="C43" s="1387"/>
      <c r="D43" s="1387"/>
      <c r="E43" s="1387"/>
      <c r="F43" s="1387"/>
      <c r="G43" s="1387"/>
      <c r="H43" s="2508" t="s">
        <v>1000</v>
      </c>
      <c r="I43" s="1389">
        <v>0.75</v>
      </c>
      <c r="J43" s="1389">
        <v>0.85</v>
      </c>
      <c r="K43" s="1389">
        <v>0.95</v>
      </c>
      <c r="L43" s="1390" t="s">
        <v>200</v>
      </c>
      <c r="M43" s="1391">
        <v>155</v>
      </c>
      <c r="P43" s="405" t="s">
        <v>1392</v>
      </c>
      <c r="R43" s="405" t="s">
        <v>1393</v>
      </c>
    </row>
    <row r="44" spans="2:20" ht="15.65" x14ac:dyDescent="0.25">
      <c r="B44" s="3093"/>
      <c r="C44" s="1387"/>
      <c r="D44" s="1387"/>
      <c r="E44" s="1387"/>
      <c r="F44" s="1387"/>
      <c r="G44" s="1387"/>
      <c r="H44" s="2508" t="s">
        <v>648</v>
      </c>
      <c r="I44" s="1389"/>
      <c r="J44" s="1389"/>
      <c r="K44" s="1389"/>
      <c r="L44" s="1390"/>
      <c r="M44" s="1391"/>
    </row>
    <row r="45" spans="2:20" ht="15.65" x14ac:dyDescent="0.2">
      <c r="B45" s="3316" t="s">
        <v>167</v>
      </c>
      <c r="C45" s="3317"/>
      <c r="D45" s="3317"/>
      <c r="E45" s="3317"/>
      <c r="F45" s="3317"/>
      <c r="G45" s="3317"/>
      <c r="H45" s="3317"/>
      <c r="I45" s="3317"/>
      <c r="J45" s="3317"/>
      <c r="K45" s="3317"/>
      <c r="L45" s="3317"/>
      <c r="M45" s="3317"/>
    </row>
    <row r="46" spans="2:20" ht="15.65" x14ac:dyDescent="0.25">
      <c r="B46" s="3104" t="s">
        <v>168</v>
      </c>
      <c r="C46" s="1387"/>
      <c r="D46" s="1387"/>
      <c r="E46" s="1387"/>
      <c r="F46" s="1387"/>
      <c r="G46" s="1387"/>
      <c r="H46" s="2510" t="s">
        <v>1388</v>
      </c>
      <c r="I46" s="1389"/>
      <c r="J46" s="1389"/>
      <c r="K46" s="1389"/>
      <c r="L46" s="1390"/>
      <c r="M46" s="1391">
        <f>(20.5+35.8)*1.48+23.9*4.42+42.4*1.47+77*1.2+4.4*1.47</f>
        <v>350.15800000000002</v>
      </c>
      <c r="P46" t="s">
        <v>1386</v>
      </c>
      <c r="R46" t="s">
        <v>1387</v>
      </c>
    </row>
    <row r="47" spans="2:20" ht="15.65" x14ac:dyDescent="0.2">
      <c r="B47" s="3318" t="s">
        <v>875</v>
      </c>
      <c r="C47" s="3319"/>
      <c r="D47" s="3319"/>
      <c r="E47" s="3319"/>
      <c r="F47" s="3319"/>
      <c r="G47" s="3319"/>
      <c r="H47" s="3319"/>
      <c r="I47" s="3319"/>
      <c r="J47" s="3319" t="s">
        <v>876</v>
      </c>
      <c r="K47" s="3319"/>
      <c r="L47" s="3319"/>
      <c r="M47" s="3320"/>
    </row>
    <row r="48" spans="2:20" ht="15.65" x14ac:dyDescent="0.25">
      <c r="B48" s="3096"/>
      <c r="C48" s="1387"/>
      <c r="D48" s="1387"/>
      <c r="E48" s="1387"/>
      <c r="F48" s="1387"/>
      <c r="G48" s="1387"/>
      <c r="H48" s="2508"/>
      <c r="I48" s="3311" t="s">
        <v>876</v>
      </c>
      <c r="J48" s="3312"/>
      <c r="K48" s="3313"/>
      <c r="L48" s="2433" t="s">
        <v>879</v>
      </c>
      <c r="M48" s="2431" t="s">
        <v>326</v>
      </c>
    </row>
    <row r="49" spans="2:13" ht="15.65" x14ac:dyDescent="0.25">
      <c r="B49" s="3108" t="s">
        <v>404</v>
      </c>
      <c r="C49" s="1387"/>
      <c r="D49" s="1387"/>
      <c r="E49" s="1387"/>
      <c r="F49" s="1387"/>
      <c r="G49" s="1387"/>
      <c r="H49" s="2515" t="s">
        <v>878</v>
      </c>
      <c r="I49" s="1386" t="s">
        <v>325</v>
      </c>
      <c r="J49" s="1386" t="s">
        <v>326</v>
      </c>
      <c r="K49" s="1386" t="s">
        <v>327</v>
      </c>
      <c r="L49" s="3323" t="s">
        <v>154</v>
      </c>
      <c r="M49" s="3324"/>
    </row>
    <row r="50" spans="2:13" ht="18.350000000000001" x14ac:dyDescent="0.25">
      <c r="B50" s="3104"/>
      <c r="C50" s="1387" t="s">
        <v>1175</v>
      </c>
      <c r="D50" s="1387"/>
      <c r="E50" s="1387"/>
      <c r="F50" s="1387"/>
      <c r="G50" s="1387"/>
      <c r="H50" s="2508" t="s">
        <v>1158</v>
      </c>
      <c r="I50" s="1411">
        <v>11</v>
      </c>
      <c r="J50" s="1411">
        <v>13</v>
      </c>
      <c r="K50" s="1411">
        <v>19</v>
      </c>
      <c r="L50" s="1390" t="s">
        <v>1180</v>
      </c>
      <c r="M50" s="1394" t="s">
        <v>1179</v>
      </c>
    </row>
    <row r="51" spans="2:13" ht="15.65" x14ac:dyDescent="0.25">
      <c r="B51" s="3104"/>
      <c r="C51" s="1387" t="s">
        <v>1220</v>
      </c>
      <c r="D51" s="1387"/>
      <c r="E51" s="1387"/>
      <c r="F51" s="1387"/>
      <c r="G51" s="1387"/>
      <c r="H51" s="2508" t="s">
        <v>679</v>
      </c>
      <c r="I51" s="1411">
        <v>11</v>
      </c>
      <c r="J51" s="1411">
        <v>13</v>
      </c>
      <c r="K51" s="1411">
        <v>15</v>
      </c>
      <c r="L51" s="1390" t="s">
        <v>1221</v>
      </c>
      <c r="M51" s="1394" t="s">
        <v>1222</v>
      </c>
    </row>
    <row r="52" spans="2:13" ht="18.350000000000001" x14ac:dyDescent="0.25">
      <c r="B52" s="3104"/>
      <c r="C52" s="1387" t="s">
        <v>1172</v>
      </c>
      <c r="D52" s="1387"/>
      <c r="E52" s="1387"/>
      <c r="F52" s="1387"/>
      <c r="G52" s="1387"/>
      <c r="H52" s="2508" t="s">
        <v>680</v>
      </c>
      <c r="I52" s="1411">
        <v>13</v>
      </c>
      <c r="J52" s="1411">
        <v>16</v>
      </c>
      <c r="K52" s="1411">
        <v>18</v>
      </c>
      <c r="L52" s="1390" t="s">
        <v>1181</v>
      </c>
      <c r="M52" s="1394" t="s">
        <v>1167</v>
      </c>
    </row>
    <row r="53" spans="2:13" ht="15.65" x14ac:dyDescent="0.25">
      <c r="B53" s="3104"/>
      <c r="C53" s="1385" t="s">
        <v>699</v>
      </c>
      <c r="D53" s="1385"/>
      <c r="E53" s="1385"/>
      <c r="F53" s="1385"/>
      <c r="G53" s="1385"/>
      <c r="H53" s="2512" t="s">
        <v>1155</v>
      </c>
      <c r="I53" s="2969">
        <v>13</v>
      </c>
      <c r="J53" s="2969">
        <v>16</v>
      </c>
      <c r="K53" s="2969">
        <v>18</v>
      </c>
      <c r="L53" s="1397" t="s">
        <v>1182</v>
      </c>
      <c r="M53" s="1398" t="s">
        <v>1166</v>
      </c>
    </row>
    <row r="54" spans="2:13" ht="15.65" x14ac:dyDescent="0.25">
      <c r="B54" s="3108" t="s">
        <v>1396</v>
      </c>
      <c r="C54" s="1387"/>
      <c r="D54" s="1387"/>
      <c r="E54" s="1387"/>
      <c r="F54" s="1387"/>
      <c r="G54" s="1387"/>
      <c r="H54" s="2508"/>
      <c r="I54" s="1411"/>
      <c r="J54" s="1411"/>
      <c r="K54" s="1411"/>
      <c r="L54" s="1390"/>
      <c r="M54" s="1394"/>
    </row>
    <row r="55" spans="2:13" ht="18.350000000000001" x14ac:dyDescent="0.25">
      <c r="B55" s="3104"/>
      <c r="C55" s="1387" t="s">
        <v>1174</v>
      </c>
      <c r="D55" s="1387"/>
      <c r="E55" s="1387"/>
      <c r="F55" s="1387"/>
      <c r="G55" s="1387"/>
      <c r="H55" s="2508" t="s">
        <v>1154</v>
      </c>
      <c r="I55" s="1411">
        <v>13</v>
      </c>
      <c r="J55" s="1411">
        <v>18</v>
      </c>
      <c r="K55" s="1411">
        <v>22</v>
      </c>
      <c r="L55" s="1390" t="s">
        <v>1176</v>
      </c>
      <c r="M55" s="1394" t="s">
        <v>1177</v>
      </c>
    </row>
    <row r="56" spans="2:13" ht="18.350000000000001" x14ac:dyDescent="0.25">
      <c r="B56" s="3104"/>
      <c r="C56" s="1387" t="s">
        <v>1173</v>
      </c>
      <c r="D56" s="1387"/>
      <c r="E56" s="1387"/>
      <c r="F56" s="1387"/>
      <c r="G56" s="1387"/>
      <c r="H56" s="2508" t="s">
        <v>1154</v>
      </c>
      <c r="I56" s="1411">
        <v>11</v>
      </c>
      <c r="J56" s="1411">
        <v>13</v>
      </c>
      <c r="K56" s="1411">
        <v>15</v>
      </c>
      <c r="L56" s="1390" t="s">
        <v>1178</v>
      </c>
      <c r="M56" s="1394" t="s">
        <v>203</v>
      </c>
    </row>
    <row r="57" spans="2:13" ht="15.65" x14ac:dyDescent="0.25">
      <c r="B57" s="3104"/>
      <c r="C57" s="1387" t="s">
        <v>1397</v>
      </c>
      <c r="D57" s="1387"/>
      <c r="E57" s="1387"/>
      <c r="F57" s="1387"/>
      <c r="G57" s="1387"/>
      <c r="H57" s="2508" t="s">
        <v>1159</v>
      </c>
      <c r="I57" s="1411">
        <v>10</v>
      </c>
      <c r="J57" s="1411">
        <v>12</v>
      </c>
      <c r="K57" s="1411">
        <v>18</v>
      </c>
      <c r="L57" s="1390" t="s">
        <v>1168</v>
      </c>
      <c r="M57" s="1394" t="s">
        <v>1169</v>
      </c>
    </row>
    <row r="58" spans="2:13" ht="15.65" x14ac:dyDescent="0.25">
      <c r="B58" s="3107"/>
      <c r="C58" s="1385" t="s">
        <v>1156</v>
      </c>
      <c r="D58" s="405"/>
      <c r="E58" s="405"/>
      <c r="F58" s="405"/>
      <c r="G58" s="405"/>
      <c r="H58" s="2508" t="s">
        <v>1157</v>
      </c>
      <c r="I58" s="1411">
        <v>10</v>
      </c>
      <c r="J58" s="1411">
        <v>12</v>
      </c>
      <c r="K58" s="1411">
        <v>18</v>
      </c>
      <c r="L58" s="1390" t="s">
        <v>1170</v>
      </c>
      <c r="M58" s="1394" t="s">
        <v>1171</v>
      </c>
    </row>
    <row r="59" spans="2:13" ht="15.65" x14ac:dyDescent="0.2">
      <c r="B59" s="3318" t="s">
        <v>871</v>
      </c>
      <c r="C59" s="3319"/>
      <c r="D59" s="3319"/>
      <c r="E59" s="3319"/>
      <c r="F59" s="3319"/>
      <c r="G59" s="3319"/>
      <c r="H59" s="3319"/>
      <c r="I59" s="3319"/>
      <c r="J59" s="3319" t="s">
        <v>374</v>
      </c>
      <c r="K59" s="3319"/>
      <c r="L59" s="3319"/>
      <c r="M59" s="3320"/>
    </row>
    <row r="60" spans="2:13" ht="15.65" x14ac:dyDescent="0.25">
      <c r="B60" s="3108"/>
      <c r="C60" s="1387"/>
      <c r="D60" s="1387"/>
      <c r="E60" s="1387"/>
      <c r="F60" s="1387"/>
      <c r="G60" s="1387"/>
      <c r="H60" s="2508" t="s">
        <v>346</v>
      </c>
      <c r="I60" s="3311" t="s">
        <v>1187</v>
      </c>
      <c r="J60" s="3312"/>
      <c r="K60" s="3313"/>
      <c r="L60" s="3321" t="s">
        <v>1188</v>
      </c>
      <c r="M60" s="3322"/>
    </row>
    <row r="61" spans="2:13" ht="19.2" customHeight="1" x14ac:dyDescent="0.25">
      <c r="B61" s="3108" t="s">
        <v>1042</v>
      </c>
      <c r="C61" s="1387"/>
      <c r="D61" s="1387"/>
      <c r="E61" s="1387"/>
      <c r="F61" s="1387"/>
      <c r="G61" s="1387"/>
      <c r="H61" s="2508"/>
      <c r="I61" s="2206">
        <v>1.04</v>
      </c>
      <c r="J61" s="2206">
        <v>0.86</v>
      </c>
      <c r="K61" s="2206">
        <v>0.71</v>
      </c>
      <c r="L61" s="1390" t="s">
        <v>1192</v>
      </c>
      <c r="M61" s="2971">
        <v>45</v>
      </c>
    </row>
    <row r="62" spans="2:13" ht="17" customHeight="1" x14ac:dyDescent="0.25">
      <c r="B62" s="3108"/>
      <c r="C62" s="1387" t="s">
        <v>1194</v>
      </c>
      <c r="D62" s="1387"/>
      <c r="E62" s="1387"/>
      <c r="F62" s="1387"/>
      <c r="G62" s="1387"/>
      <c r="H62" s="2508" t="s">
        <v>1186</v>
      </c>
      <c r="I62" s="2206" t="s">
        <v>1189</v>
      </c>
      <c r="J62" s="2206" t="s">
        <v>1190</v>
      </c>
      <c r="K62" s="2206" t="s">
        <v>1191</v>
      </c>
      <c r="L62" s="1390" t="s">
        <v>1193</v>
      </c>
      <c r="M62" s="2431" t="s">
        <v>1219</v>
      </c>
    </row>
    <row r="63" spans="2:13" ht="15.65" x14ac:dyDescent="0.25">
      <c r="B63" s="3108" t="s">
        <v>1043</v>
      </c>
      <c r="C63" s="1387"/>
      <c r="D63" s="1387"/>
      <c r="E63" s="1387"/>
      <c r="F63" s="1387"/>
      <c r="G63" s="1387"/>
      <c r="H63" s="2757"/>
      <c r="I63" s="3102"/>
      <c r="J63" s="3102" t="s">
        <v>374</v>
      </c>
      <c r="K63" s="3102"/>
      <c r="L63" s="2972" t="s">
        <v>374</v>
      </c>
      <c r="M63" s="2431"/>
    </row>
    <row r="64" spans="2:13" ht="15.65" x14ac:dyDescent="0.25">
      <c r="B64" s="3107"/>
      <c r="C64" s="1385" t="s">
        <v>1184</v>
      </c>
      <c r="D64" s="1385"/>
      <c r="E64" s="1385"/>
      <c r="F64" s="1385"/>
      <c r="G64" s="1385"/>
      <c r="H64" s="1385"/>
      <c r="I64" s="1385"/>
      <c r="J64" s="2520">
        <v>3.5</v>
      </c>
      <c r="K64" s="1385"/>
      <c r="L64" s="2522" t="s">
        <v>1044</v>
      </c>
      <c r="M64" s="1398"/>
    </row>
    <row r="65" spans="2:13" ht="15.65" x14ac:dyDescent="0.25">
      <c r="B65" s="3097"/>
      <c r="C65" s="1387"/>
      <c r="D65" s="1387"/>
      <c r="E65" s="1387"/>
      <c r="F65" s="1387"/>
      <c r="G65" s="1387"/>
      <c r="H65" s="1915"/>
      <c r="I65" s="1916"/>
      <c r="J65" s="1916"/>
      <c r="K65" s="1916"/>
      <c r="L65" s="1387"/>
      <c r="M65" s="1917"/>
    </row>
    <row r="66" spans="2:13" ht="29.9" customHeight="1" x14ac:dyDescent="0.2">
      <c r="B66" s="3314"/>
      <c r="C66" s="3315"/>
      <c r="D66" s="3315"/>
      <c r="E66" s="3315"/>
      <c r="F66" s="3315"/>
      <c r="G66" s="3315"/>
      <c r="H66" s="3315"/>
      <c r="I66" s="3315"/>
      <c r="J66" s="3315"/>
      <c r="K66" s="3315"/>
      <c r="L66" s="3315"/>
      <c r="M66" s="3315"/>
    </row>
  </sheetData>
  <sheetProtection sheet="1" objects="1" scenarios="1"/>
  <customSheetViews>
    <customSheetView guid="{32760361-675F-4FBF-A5CA-B0597C10371F}" scale="84" showGridLines="0">
      <selection activeCell="M2" sqref="M2"/>
      <pageMargins left="0.7" right="0.7" top="0.78740157499999996" bottom="0.78740157499999996" header="0.3" footer="0.3"/>
      <pageSetup paperSize="9" scale="58" orientation="portrait" verticalDpi="0" r:id="rId1"/>
    </customSheetView>
  </customSheetViews>
  <mergeCells count="16">
    <mergeCell ref="B11:M11"/>
    <mergeCell ref="I48:K48"/>
    <mergeCell ref="L49:M49"/>
    <mergeCell ref="B1:F1"/>
    <mergeCell ref="I8:K8"/>
    <mergeCell ref="I9:K9"/>
    <mergeCell ref="L10:M10"/>
    <mergeCell ref="E9:G10"/>
    <mergeCell ref="B5:M7"/>
    <mergeCell ref="I60:K60"/>
    <mergeCell ref="B66:M66"/>
    <mergeCell ref="B45:M45"/>
    <mergeCell ref="B34:M34"/>
    <mergeCell ref="B47:M47"/>
    <mergeCell ref="B59:M59"/>
    <mergeCell ref="L60:M60"/>
  </mergeCells>
  <hyperlinks>
    <hyperlink ref="B1:F1" location="Inhalt!A1:A10" display="zurück zum Inhaltsverzeichnis"/>
  </hyperlinks>
  <pageMargins left="0.7" right="0.7" top="0.78740157499999996" bottom="0.78740157499999996" header="0.3" footer="0.3"/>
  <pageSetup paperSize="9" scale="58" orientation="portrait" verticalDpi="0"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BA121"/>
  <sheetViews>
    <sheetView showGridLines="0" showZeros="0" zoomScale="72" zoomScaleNormal="72" zoomScaleSheetLayoutView="65" workbookViewId="0">
      <pane xSplit="3" ySplit="12" topLeftCell="D13"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2.9" x14ac:dyDescent="0.2"/>
  <cols>
    <col min="1" max="1" width="2" style="438" customWidth="1"/>
    <col min="2" max="2" width="6.375" style="449" hidden="1" customWidth="1"/>
    <col min="3" max="3" width="33.875" style="449" customWidth="1"/>
    <col min="4" max="4" width="9.625" style="449" customWidth="1"/>
    <col min="5" max="5" width="7.875" style="770" customWidth="1"/>
    <col min="6" max="6" width="12.875" style="770" customWidth="1"/>
    <col min="7" max="7" width="8.375" style="770" customWidth="1"/>
    <col min="8" max="8" width="6" style="1028" customWidth="1"/>
    <col min="9" max="9" width="11.625" style="770" customWidth="1"/>
    <col min="10" max="10" width="11.375" style="770"/>
    <col min="11" max="11" width="6.625" style="770" customWidth="1"/>
    <col min="12" max="12" width="6.375" style="770" customWidth="1"/>
    <col min="13" max="13" width="8.125" style="770" customWidth="1"/>
    <col min="14" max="14" width="5.875" style="770" customWidth="1"/>
    <col min="15" max="16" width="7.625" style="770" customWidth="1"/>
    <col min="17" max="17" width="9.375" style="770" customWidth="1"/>
    <col min="18" max="18" width="8.375" style="770" customWidth="1"/>
    <col min="19" max="19" width="7.375" style="770" customWidth="1"/>
    <col min="20" max="21" width="8" style="770" customWidth="1"/>
    <col min="22" max="22" width="7.375" style="770" customWidth="1"/>
    <col min="23" max="23" width="7.625" style="770" customWidth="1"/>
    <col min="24" max="25" width="10.375" style="770" customWidth="1"/>
    <col min="26" max="26" width="11.375" style="434"/>
    <col min="27" max="27" width="11.375" style="449" customWidth="1"/>
    <col min="28" max="28" width="9.875" style="449" customWidth="1"/>
    <col min="29" max="16384" width="11.375" style="438"/>
  </cols>
  <sheetData>
    <row r="1" spans="1:53" ht="18.350000000000001" x14ac:dyDescent="0.2">
      <c r="C1" s="3169" t="s">
        <v>176</v>
      </c>
      <c r="D1" s="3169"/>
      <c r="E1" s="3169"/>
      <c r="F1" s="3169"/>
      <c r="G1" s="3169"/>
    </row>
    <row r="2" spans="1:53" ht="21.25" customHeight="1" x14ac:dyDescent="0.2">
      <c r="C2" s="1410" t="s">
        <v>300</v>
      </c>
      <c r="D2" s="1410"/>
      <c r="E2" s="1410"/>
      <c r="F2" s="1410"/>
      <c r="G2" s="1410"/>
      <c r="H2" s="1410"/>
      <c r="M2" s="766"/>
      <c r="N2" s="766"/>
      <c r="O2" s="434"/>
      <c r="P2" s="434"/>
      <c r="Q2" s="434"/>
      <c r="R2" s="769" t="s">
        <v>266</v>
      </c>
      <c r="S2" s="431"/>
      <c r="T2" s="431"/>
      <c r="U2" s="431"/>
      <c r="V2" s="431"/>
      <c r="W2" s="431"/>
      <c r="X2" s="71" t="s">
        <v>267</v>
      </c>
      <c r="Y2" s="71"/>
    </row>
    <row r="3" spans="1:53" ht="21.25" customHeight="1" x14ac:dyDescent="0.2">
      <c r="A3" s="766"/>
      <c r="B3" s="767"/>
      <c r="M3" s="434"/>
      <c r="N3" s="434"/>
      <c r="O3" s="434"/>
      <c r="P3" s="434"/>
      <c r="Q3" s="434"/>
      <c r="R3" s="769" t="s">
        <v>312</v>
      </c>
      <c r="S3" s="431"/>
      <c r="T3" s="431"/>
      <c r="U3" s="431"/>
      <c r="V3" s="431"/>
      <c r="W3" s="431"/>
      <c r="X3" s="72">
        <f>Prämien!Y2</f>
        <v>2018</v>
      </c>
      <c r="Y3" s="72"/>
    </row>
    <row r="4" spans="1:53" ht="12.75" customHeight="1" x14ac:dyDescent="0.2">
      <c r="A4" s="766"/>
      <c r="B4" s="767"/>
      <c r="C4" s="431"/>
      <c r="D4" s="3060" t="s">
        <v>1270</v>
      </c>
      <c r="E4" s="434"/>
      <c r="F4" s="434" t="s">
        <v>1271</v>
      </c>
      <c r="G4" s="3005" t="s">
        <v>3</v>
      </c>
      <c r="H4" s="1010"/>
      <c r="I4" s="3005" t="s">
        <v>253</v>
      </c>
      <c r="J4" s="434"/>
      <c r="K4" s="1010" t="s">
        <v>4</v>
      </c>
      <c r="L4" s="434"/>
      <c r="M4" s="434"/>
      <c r="N4" s="434"/>
      <c r="O4" s="434"/>
      <c r="P4" s="434"/>
      <c r="Q4" s="434"/>
      <c r="R4" s="769"/>
      <c r="S4" s="431"/>
      <c r="T4" s="431"/>
      <c r="U4" s="431"/>
      <c r="V4" s="431"/>
      <c r="W4" s="431"/>
      <c r="X4" s="72"/>
      <c r="Y4" s="72"/>
    </row>
    <row r="5" spans="1:53" ht="19.55" customHeight="1" x14ac:dyDescent="0.2">
      <c r="A5" s="766"/>
      <c r="B5" s="434"/>
      <c r="C5" s="3061" t="s">
        <v>1272</v>
      </c>
      <c r="D5" s="3062">
        <f>G5+I5+K5</f>
        <v>100</v>
      </c>
      <c r="G5" s="3062">
        <v>45</v>
      </c>
      <c r="H5" s="3060" t="s">
        <v>5</v>
      </c>
      <c r="I5" s="3062">
        <v>15</v>
      </c>
      <c r="J5" s="3060" t="s">
        <v>5</v>
      </c>
      <c r="K5" s="3062">
        <v>40</v>
      </c>
      <c r="L5" s="3060" t="s">
        <v>5</v>
      </c>
      <c r="M5" s="434"/>
      <c r="N5" s="434"/>
      <c r="O5" s="434"/>
      <c r="P5" s="768" t="s">
        <v>6</v>
      </c>
      <c r="Q5" s="551">
        <f>Preise!M10</f>
        <v>19</v>
      </c>
      <c r="R5" s="434"/>
      <c r="S5" s="462"/>
      <c r="T5" s="462"/>
      <c r="U5" s="462"/>
      <c r="V5" s="462"/>
      <c r="W5" s="768" t="s">
        <v>7</v>
      </c>
      <c r="X5" s="551">
        <f>Preise!M33</f>
        <v>1.5</v>
      </c>
      <c r="Y5" s="733"/>
      <c r="AC5" s="771"/>
      <c r="AD5" s="771"/>
      <c r="AE5" s="771"/>
      <c r="AF5" s="771"/>
      <c r="AG5" s="771"/>
      <c r="AH5" s="771"/>
      <c r="AI5" s="771"/>
      <c r="AJ5" s="771"/>
      <c r="AK5" s="771"/>
      <c r="AL5" s="771"/>
      <c r="AM5" s="771"/>
      <c r="AN5" s="771"/>
      <c r="AO5" s="771"/>
      <c r="AP5" s="771"/>
      <c r="AQ5" s="771"/>
      <c r="AR5" s="771"/>
      <c r="AS5" s="771"/>
      <c r="AT5" s="771"/>
      <c r="AU5" s="771"/>
      <c r="AV5" s="771"/>
      <c r="AW5" s="771"/>
      <c r="AX5" s="771"/>
      <c r="AY5" s="771"/>
      <c r="AZ5" s="771"/>
      <c r="BA5" s="771"/>
    </row>
    <row r="6" spans="1:53" ht="19.55" customHeight="1" x14ac:dyDescent="0.2">
      <c r="A6" s="766"/>
      <c r="B6" s="434"/>
      <c r="C6" s="434"/>
      <c r="D6" s="770" t="s">
        <v>1243</v>
      </c>
      <c r="E6" s="1024"/>
      <c r="F6" s="434"/>
      <c r="G6" s="773"/>
      <c r="H6" s="769"/>
      <c r="I6" s="769"/>
      <c r="J6" s="434"/>
      <c r="K6" s="434"/>
      <c r="L6" s="434"/>
      <c r="M6" s="434"/>
      <c r="Q6" s="434"/>
      <c r="R6" s="769"/>
      <c r="S6" s="462"/>
      <c r="T6" s="462"/>
      <c r="U6" s="434"/>
      <c r="V6" s="434"/>
      <c r="W6" s="768" t="s">
        <v>8</v>
      </c>
      <c r="X6" s="551">
        <f>Preise!M34</f>
        <v>2.5</v>
      </c>
      <c r="Y6" s="733"/>
      <c r="AC6" s="771"/>
      <c r="AD6" s="771"/>
      <c r="AE6" s="771"/>
      <c r="AF6" s="771"/>
      <c r="AG6" s="771"/>
      <c r="AH6" s="771"/>
      <c r="AI6" s="771"/>
      <c r="AJ6" s="771"/>
      <c r="AK6" s="771"/>
      <c r="AL6" s="771"/>
      <c r="AM6" s="771"/>
      <c r="AN6" s="771"/>
      <c r="AO6" s="771"/>
      <c r="AP6" s="771"/>
      <c r="AQ6" s="771"/>
      <c r="AR6" s="771"/>
      <c r="AS6" s="771"/>
      <c r="AT6" s="771"/>
      <c r="AU6" s="771"/>
      <c r="AV6" s="771"/>
      <c r="AW6" s="771"/>
      <c r="AX6" s="771"/>
      <c r="AY6" s="771"/>
      <c r="AZ6" s="771"/>
      <c r="BA6" s="771"/>
    </row>
    <row r="7" spans="1:53" ht="14.3" customHeight="1" thickBot="1" x14ac:dyDescent="0.25">
      <c r="A7" s="766"/>
      <c r="B7" s="772"/>
      <c r="C7" s="434"/>
      <c r="D7" s="770" t="s">
        <v>1244</v>
      </c>
      <c r="E7" s="434"/>
      <c r="F7" s="434"/>
      <c r="Q7" s="434"/>
      <c r="R7" s="769"/>
      <c r="S7" s="462"/>
      <c r="T7" s="462"/>
      <c r="U7" s="774"/>
      <c r="V7" s="774"/>
      <c r="W7" s="774"/>
      <c r="X7" s="774"/>
      <c r="Y7" s="774"/>
      <c r="AC7" s="771"/>
      <c r="AD7" s="771"/>
      <c r="AE7" s="771"/>
      <c r="AF7" s="771"/>
      <c r="AG7" s="771"/>
      <c r="AH7" s="771"/>
      <c r="AI7" s="771"/>
      <c r="AJ7" s="771"/>
      <c r="AK7" s="771"/>
      <c r="AL7" s="771"/>
      <c r="AM7" s="771"/>
      <c r="AN7" s="771"/>
      <c r="AO7" s="771"/>
      <c r="AP7" s="771"/>
      <c r="AQ7" s="771"/>
      <c r="AR7" s="771"/>
      <c r="AS7" s="771"/>
      <c r="AT7" s="771"/>
      <c r="AU7" s="771"/>
      <c r="AV7" s="771"/>
      <c r="AW7" s="771"/>
      <c r="AX7" s="771"/>
      <c r="AY7" s="771"/>
      <c r="AZ7" s="771"/>
      <c r="BA7" s="771"/>
    </row>
    <row r="8" spans="1:53" s="775" customFormat="1" ht="15.8" customHeight="1" x14ac:dyDescent="0.2">
      <c r="B8" s="1135"/>
      <c r="C8" s="1400" t="s">
        <v>9</v>
      </c>
      <c r="D8" s="1136" t="s">
        <v>10</v>
      </c>
      <c r="E8" s="1136" t="s">
        <v>11</v>
      </c>
      <c r="F8" s="1136" t="s">
        <v>12</v>
      </c>
      <c r="G8" s="1136" t="s">
        <v>13</v>
      </c>
      <c r="H8" s="3339" t="s">
        <v>14</v>
      </c>
      <c r="I8" s="1136" t="s">
        <v>14</v>
      </c>
      <c r="J8" s="3339" t="s">
        <v>15</v>
      </c>
      <c r="K8" s="1137" t="s">
        <v>16</v>
      </c>
      <c r="L8" s="1138"/>
      <c r="M8" s="1138"/>
      <c r="N8" s="1138"/>
      <c r="O8" s="1138"/>
      <c r="P8" s="1138"/>
      <c r="Q8" s="1138"/>
      <c r="R8" s="1139" t="s">
        <v>17</v>
      </c>
      <c r="S8" s="1736" t="s">
        <v>1240</v>
      </c>
      <c r="T8" s="1140"/>
      <c r="U8" s="1140"/>
      <c r="V8" s="1140"/>
      <c r="W8" s="1140"/>
      <c r="X8" s="1141"/>
      <c r="Y8" s="1141"/>
      <c r="Z8"/>
      <c r="AA8"/>
      <c r="AB8" s="78"/>
      <c r="AI8" s="783" t="s">
        <v>13</v>
      </c>
    </row>
    <row r="9" spans="1:53" s="775" customFormat="1" ht="15.8" customHeight="1" x14ac:dyDescent="0.2">
      <c r="B9" s="1142"/>
      <c r="C9" s="1401" t="s">
        <v>18</v>
      </c>
      <c r="D9" s="785" t="s">
        <v>19</v>
      </c>
      <c r="E9" s="785" t="s">
        <v>20</v>
      </c>
      <c r="F9" s="785" t="s">
        <v>21</v>
      </c>
      <c r="G9" s="785" t="s">
        <v>22</v>
      </c>
      <c r="H9" s="3340"/>
      <c r="I9" s="1022" t="s">
        <v>23</v>
      </c>
      <c r="J9" s="3340"/>
      <c r="K9" s="3001" t="s">
        <v>3</v>
      </c>
      <c r="L9" s="785" t="s">
        <v>253</v>
      </c>
      <c r="M9" s="2250" t="s">
        <v>544</v>
      </c>
      <c r="N9" s="785" t="s">
        <v>494</v>
      </c>
      <c r="O9" s="785" t="s">
        <v>545</v>
      </c>
      <c r="P9" s="785" t="s">
        <v>546</v>
      </c>
      <c r="Q9" s="785" t="s">
        <v>547</v>
      </c>
      <c r="R9" s="1050" t="s">
        <v>548</v>
      </c>
      <c r="S9" s="3002" t="s">
        <v>3</v>
      </c>
      <c r="T9" s="787" t="s">
        <v>253</v>
      </c>
      <c r="U9" s="787" t="s">
        <v>544</v>
      </c>
      <c r="V9" s="787" t="s">
        <v>494</v>
      </c>
      <c r="W9" s="787" t="s">
        <v>545</v>
      </c>
      <c r="X9" s="787" t="s">
        <v>546</v>
      </c>
      <c r="Y9" s="3337" t="s">
        <v>1245</v>
      </c>
      <c r="Z9"/>
      <c r="AA9"/>
      <c r="AB9" s="78"/>
      <c r="AI9" s="788" t="s">
        <v>22</v>
      </c>
    </row>
    <row r="10" spans="1:53" s="775" customFormat="1" ht="15.8" customHeight="1" x14ac:dyDescent="0.2">
      <c r="B10" s="1142"/>
      <c r="C10" s="1401" t="s">
        <v>549</v>
      </c>
      <c r="D10" s="786" t="s">
        <v>550</v>
      </c>
      <c r="E10" s="785" t="s">
        <v>551</v>
      </c>
      <c r="F10" s="786" t="s">
        <v>550</v>
      </c>
      <c r="G10" s="785"/>
      <c r="H10" s="1169"/>
      <c r="I10" s="1021"/>
      <c r="J10" s="3340"/>
      <c r="K10" s="3001" t="s">
        <v>523</v>
      </c>
      <c r="L10" s="785"/>
      <c r="M10" s="2250" t="s">
        <v>78</v>
      </c>
      <c r="N10" s="785"/>
      <c r="O10" s="785" t="s">
        <v>79</v>
      </c>
      <c r="P10" s="785" t="s">
        <v>547</v>
      </c>
      <c r="Q10" s="785" t="s">
        <v>80</v>
      </c>
      <c r="R10" s="785"/>
      <c r="S10" s="3000" t="s">
        <v>235</v>
      </c>
      <c r="T10" s="787"/>
      <c r="U10" s="787" t="s">
        <v>78</v>
      </c>
      <c r="V10" s="787"/>
      <c r="W10" s="787" t="s">
        <v>79</v>
      </c>
      <c r="X10" s="787" t="s">
        <v>547</v>
      </c>
      <c r="Y10" s="3337"/>
      <c r="Z10"/>
      <c r="AA10"/>
      <c r="AB10" s="78"/>
      <c r="AI10" s="788" t="s">
        <v>81</v>
      </c>
    </row>
    <row r="11" spans="1:53" s="775" customFormat="1" ht="15.8" customHeight="1" x14ac:dyDescent="0.2">
      <c r="B11" s="1142"/>
      <c r="C11" s="1401"/>
      <c r="D11" s="786"/>
      <c r="E11" s="785"/>
      <c r="F11" s="786"/>
      <c r="G11" s="785"/>
      <c r="H11" s="1169"/>
      <c r="I11" s="1044"/>
      <c r="J11" s="3340"/>
      <c r="K11" s="785"/>
      <c r="L11" s="785"/>
      <c r="M11" s="2251"/>
      <c r="N11" s="785"/>
      <c r="O11" s="785"/>
      <c r="P11" s="785" t="s">
        <v>82</v>
      </c>
      <c r="Q11" s="785" t="s">
        <v>484</v>
      </c>
      <c r="R11" s="785"/>
      <c r="S11" s="3000" t="s">
        <v>252</v>
      </c>
      <c r="T11" s="2251"/>
      <c r="U11" s="2251"/>
      <c r="V11" s="787"/>
      <c r="W11" s="787"/>
      <c r="X11" s="787" t="s">
        <v>82</v>
      </c>
      <c r="Y11" s="3337"/>
      <c r="Z11"/>
      <c r="AA11"/>
      <c r="AB11" s="78"/>
      <c r="AI11" s="788"/>
    </row>
    <row r="12" spans="1:53" s="1021" customFormat="1" ht="16.5" customHeight="1" thickBot="1" x14ac:dyDescent="0.25">
      <c r="B12" s="1143"/>
      <c r="C12" s="1402" t="s">
        <v>111</v>
      </c>
      <c r="D12" s="3046" t="s">
        <v>83</v>
      </c>
      <c r="E12" s="3046" t="s">
        <v>487</v>
      </c>
      <c r="F12" s="3046" t="s">
        <v>83</v>
      </c>
      <c r="G12" s="3046" t="s">
        <v>58</v>
      </c>
      <c r="H12" s="3046" t="s">
        <v>487</v>
      </c>
      <c r="I12" s="3046" t="s">
        <v>83</v>
      </c>
      <c r="J12" s="3047" t="s">
        <v>83</v>
      </c>
      <c r="K12" s="1133"/>
      <c r="L12" s="1133"/>
      <c r="M12" s="2252"/>
      <c r="N12" s="1133"/>
      <c r="O12" s="1133"/>
      <c r="P12" s="1133"/>
      <c r="Q12" s="1133" t="s">
        <v>267</v>
      </c>
      <c r="R12" s="1133" t="s">
        <v>5</v>
      </c>
      <c r="S12" s="3008" t="s">
        <v>1241</v>
      </c>
      <c r="T12" s="2252"/>
      <c r="U12" s="2252"/>
      <c r="V12" s="1134"/>
      <c r="W12" s="1134"/>
      <c r="X12" s="1134" t="s">
        <v>1242</v>
      </c>
      <c r="Y12" s="3338"/>
      <c r="Z12"/>
      <c r="AA12"/>
      <c r="AB12" s="78"/>
      <c r="AI12" s="788" t="s">
        <v>58</v>
      </c>
    </row>
    <row r="13" spans="1:53" s="436" customFormat="1" ht="14.95" customHeight="1" x14ac:dyDescent="0.2">
      <c r="B13" s="77"/>
      <c r="C13" s="2621" t="s">
        <v>608</v>
      </c>
      <c r="D13" s="2622">
        <v>93000</v>
      </c>
      <c r="E13" s="2622">
        <v>15</v>
      </c>
      <c r="F13" s="2623">
        <f>(100-E13)/100*D13</f>
        <v>79050</v>
      </c>
      <c r="G13" s="2624">
        <v>15</v>
      </c>
      <c r="H13" s="2625">
        <v>0.15</v>
      </c>
      <c r="I13" s="223">
        <f>(F13*H13)+F13*H13*Preise!$M$10%</f>
        <v>14110.424999999999</v>
      </c>
      <c r="J13" s="482">
        <f t="shared" ref="J13:J21" si="0">IF(G13=0,0,(F13*((100+$Q$5)/100)-I13)/G13+(F13*((100+$Q$5)/100)+I13)*$X$5/2/100)</f>
        <v>6141.9544374999996</v>
      </c>
      <c r="K13" s="1029">
        <v>45</v>
      </c>
      <c r="L13" s="1029"/>
      <c r="M13" s="1029">
        <v>5</v>
      </c>
      <c r="N13" s="1029">
        <v>5</v>
      </c>
      <c r="O13" s="1029"/>
      <c r="P13" s="1029">
        <v>10</v>
      </c>
      <c r="Q13" s="1029">
        <v>20</v>
      </c>
      <c r="R13" s="223">
        <f t="shared" ref="R13:R24" si="1">SUM(K13:Q13)</f>
        <v>85</v>
      </c>
      <c r="S13" s="793">
        <f t="shared" ref="S13:S24" si="2">IF(K13=0,0,IF($R13=0,0,$J13/$R13))</f>
        <v>72.258287499999994</v>
      </c>
      <c r="T13" s="794">
        <f t="shared" ref="T13:T24" si="3">IF(L13=0,0,IF($R13=0,0,$J13/$R13))</f>
        <v>0</v>
      </c>
      <c r="U13" s="794">
        <f t="shared" ref="U13:U24" si="4">IF(M13=0,0,IF($R13=0,0,$J13/$R13))</f>
        <v>72.258287499999994</v>
      </c>
      <c r="V13" s="794">
        <f t="shared" ref="V13:V24" si="5">IF(N13=0,0,IF($R13=0,0,$J13/$R13))</f>
        <v>72.258287499999994</v>
      </c>
      <c r="W13" s="794">
        <f t="shared" ref="W13:W24" si="6">IF(O13=0,0,IF($R13=0,0,$J13/$R13))</f>
        <v>0</v>
      </c>
      <c r="X13" s="794">
        <f t="shared" ref="X13:X24" si="7">IF(P13=0,0,IF($R13=0,0,$J13/$R13))</f>
        <v>72.258287499999994</v>
      </c>
      <c r="Y13" s="795">
        <f t="shared" ref="Y13:Y24" si="8">IF(Q13=0,0,IF($R13=0,0,$J13/$R13))</f>
        <v>72.258287499999994</v>
      </c>
      <c r="Z13"/>
      <c r="AA13"/>
      <c r="AB13" s="3003" t="s">
        <v>1334</v>
      </c>
      <c r="AC13" s="2573"/>
      <c r="AD13" s="2573"/>
      <c r="AE13" s="2573"/>
      <c r="AF13" s="2573"/>
      <c r="AG13" s="2573"/>
      <c r="AH13" s="2573"/>
      <c r="AI13" s="2630">
        <v>12</v>
      </c>
    </row>
    <row r="14" spans="1:53" s="436" customFormat="1" ht="14.95" customHeight="1" x14ac:dyDescent="0.2">
      <c r="B14" s="77"/>
      <c r="C14" s="2621" t="s">
        <v>412</v>
      </c>
      <c r="D14" s="2622">
        <v>56500</v>
      </c>
      <c r="E14" s="2622">
        <v>10</v>
      </c>
      <c r="F14" s="2623">
        <f t="shared" ref="F14:F19" si="9">(100-E14)/100*D14</f>
        <v>50850</v>
      </c>
      <c r="G14" s="2624">
        <v>15</v>
      </c>
      <c r="H14" s="2625">
        <v>0.15</v>
      </c>
      <c r="I14" s="223">
        <f>(F14*H14)+F14*H14*Preise!$M$10%</f>
        <v>9076.7250000000004</v>
      </c>
      <c r="J14" s="482">
        <f t="shared" si="0"/>
        <v>3950.8966875000001</v>
      </c>
      <c r="K14" s="1029">
        <v>45</v>
      </c>
      <c r="L14" s="1029">
        <v>15</v>
      </c>
      <c r="M14" s="1029">
        <v>5</v>
      </c>
      <c r="N14" s="1029">
        <v>5</v>
      </c>
      <c r="O14" s="1029"/>
      <c r="P14" s="1029">
        <v>10</v>
      </c>
      <c r="Q14" s="1029">
        <v>20</v>
      </c>
      <c r="R14" s="223">
        <f t="shared" si="1"/>
        <v>100</v>
      </c>
      <c r="S14" s="793">
        <f t="shared" si="2"/>
        <v>39.508966874999999</v>
      </c>
      <c r="T14" s="794">
        <f t="shared" si="3"/>
        <v>39.508966874999999</v>
      </c>
      <c r="U14" s="794">
        <f t="shared" si="4"/>
        <v>39.508966874999999</v>
      </c>
      <c r="V14" s="794">
        <f t="shared" si="5"/>
        <v>39.508966874999999</v>
      </c>
      <c r="W14" s="794">
        <f t="shared" si="6"/>
        <v>0</v>
      </c>
      <c r="X14" s="794">
        <f t="shared" si="7"/>
        <v>39.508966874999999</v>
      </c>
      <c r="Y14" s="795">
        <f t="shared" si="8"/>
        <v>39.508966874999999</v>
      </c>
      <c r="Z14"/>
      <c r="AA14"/>
      <c r="AB14" s="3003" t="s">
        <v>1334</v>
      </c>
      <c r="AC14" s="2573"/>
      <c r="AD14" s="2573"/>
      <c r="AE14" s="2573"/>
      <c r="AF14" s="2573"/>
      <c r="AG14" s="2573"/>
      <c r="AH14" s="2573"/>
      <c r="AI14" s="2630">
        <v>12</v>
      </c>
    </row>
    <row r="15" spans="1:53" s="436" customFormat="1" ht="14.95" customHeight="1" x14ac:dyDescent="0.2">
      <c r="B15" s="77"/>
      <c r="C15" s="2621" t="s">
        <v>411</v>
      </c>
      <c r="D15" s="2622">
        <v>46000</v>
      </c>
      <c r="E15" s="2622">
        <v>10</v>
      </c>
      <c r="F15" s="2623">
        <f t="shared" si="9"/>
        <v>41400</v>
      </c>
      <c r="G15" s="2624">
        <v>15</v>
      </c>
      <c r="H15" s="2625">
        <v>0.15</v>
      </c>
      <c r="I15" s="223">
        <f>(F15*H15)+F15*H15*Preise!$M$10%</f>
        <v>7389.9</v>
      </c>
      <c r="J15" s="482">
        <f t="shared" si="0"/>
        <v>3216.6592499999997</v>
      </c>
      <c r="K15" s="1029">
        <v>45</v>
      </c>
      <c r="L15" s="1029">
        <v>15</v>
      </c>
      <c r="M15" s="1029">
        <v>5</v>
      </c>
      <c r="N15" s="1029">
        <v>5</v>
      </c>
      <c r="O15" s="1029"/>
      <c r="P15" s="1029">
        <v>10</v>
      </c>
      <c r="Q15" s="1029">
        <v>20</v>
      </c>
      <c r="R15" s="223">
        <f t="shared" si="1"/>
        <v>100</v>
      </c>
      <c r="S15" s="793">
        <f t="shared" si="2"/>
        <v>32.1665925</v>
      </c>
      <c r="T15" s="794">
        <f t="shared" si="3"/>
        <v>32.1665925</v>
      </c>
      <c r="U15" s="794">
        <f t="shared" si="4"/>
        <v>32.1665925</v>
      </c>
      <c r="V15" s="794">
        <f t="shared" si="5"/>
        <v>32.1665925</v>
      </c>
      <c r="W15" s="794">
        <f t="shared" si="6"/>
        <v>0</v>
      </c>
      <c r="X15" s="794">
        <f t="shared" si="7"/>
        <v>32.1665925</v>
      </c>
      <c r="Y15" s="795">
        <f t="shared" si="8"/>
        <v>32.1665925</v>
      </c>
      <c r="Z15"/>
      <c r="AA15"/>
      <c r="AB15" s="3003" t="s">
        <v>1334</v>
      </c>
      <c r="AC15" s="2573"/>
      <c r="AD15" s="2573"/>
      <c r="AE15" s="2573"/>
      <c r="AF15" s="2573"/>
      <c r="AG15" s="2573"/>
      <c r="AH15" s="2573"/>
      <c r="AI15" s="2630">
        <v>12</v>
      </c>
    </row>
    <row r="16" spans="1:53" s="436" customFormat="1" ht="14.95" customHeight="1" x14ac:dyDescent="0.2">
      <c r="B16" s="77"/>
      <c r="C16" s="2621"/>
      <c r="D16" s="2622"/>
      <c r="E16" s="2622"/>
      <c r="F16" s="2623">
        <f t="shared" si="9"/>
        <v>0</v>
      </c>
      <c r="G16" s="2624"/>
      <c r="H16" s="2625"/>
      <c r="I16" s="223">
        <f>(F16*H16)+F16*H16*Preise!$M$10%</f>
        <v>0</v>
      </c>
      <c r="J16" s="482">
        <f t="shared" si="0"/>
        <v>0</v>
      </c>
      <c r="K16" s="1029"/>
      <c r="L16" s="1029"/>
      <c r="M16" s="1029"/>
      <c r="N16" s="1029"/>
      <c r="O16" s="1029"/>
      <c r="P16" s="1029"/>
      <c r="Q16" s="1029"/>
      <c r="R16" s="223">
        <f t="shared" si="1"/>
        <v>0</v>
      </c>
      <c r="S16" s="793">
        <f t="shared" si="2"/>
        <v>0</v>
      </c>
      <c r="T16" s="794">
        <f t="shared" si="3"/>
        <v>0</v>
      </c>
      <c r="U16" s="794">
        <f t="shared" si="4"/>
        <v>0</v>
      </c>
      <c r="V16" s="794">
        <f t="shared" si="5"/>
        <v>0</v>
      </c>
      <c r="W16" s="794">
        <f t="shared" si="6"/>
        <v>0</v>
      </c>
      <c r="X16" s="794">
        <f t="shared" si="7"/>
        <v>0</v>
      </c>
      <c r="Y16" s="795">
        <f t="shared" si="8"/>
        <v>0</v>
      </c>
      <c r="Z16"/>
      <c r="AA16"/>
      <c r="AB16" s="2573"/>
      <c r="AC16" s="2573"/>
      <c r="AD16" s="2573"/>
      <c r="AE16" s="2573"/>
      <c r="AF16" s="2573"/>
      <c r="AG16" s="2573"/>
      <c r="AH16" s="2573"/>
      <c r="AI16" s="2630"/>
    </row>
    <row r="17" spans="2:35" s="436" customFormat="1" ht="14.95" customHeight="1" x14ac:dyDescent="0.2">
      <c r="B17" s="77"/>
      <c r="C17" s="2973" t="s">
        <v>59</v>
      </c>
      <c r="D17" s="2622">
        <v>13500</v>
      </c>
      <c r="E17" s="2622">
        <v>20</v>
      </c>
      <c r="F17" s="2623">
        <f t="shared" si="9"/>
        <v>10800</v>
      </c>
      <c r="G17" s="2624">
        <v>12</v>
      </c>
      <c r="H17" s="2625">
        <v>0.15</v>
      </c>
      <c r="I17" s="223">
        <f>(F17*H17)+F17*H17*Preise!$M$10%</f>
        <v>1927.8</v>
      </c>
      <c r="J17" s="482">
        <f t="shared" si="0"/>
        <v>1021.1985</v>
      </c>
      <c r="K17" s="1029"/>
      <c r="L17" s="1029"/>
      <c r="M17" s="1029">
        <v>5</v>
      </c>
      <c r="N17" s="1029">
        <v>5</v>
      </c>
      <c r="O17" s="1029"/>
      <c r="P17" s="1029">
        <v>10</v>
      </c>
      <c r="Q17" s="1029">
        <v>20</v>
      </c>
      <c r="R17" s="223">
        <f t="shared" si="1"/>
        <v>40</v>
      </c>
      <c r="S17" s="793">
        <f t="shared" si="2"/>
        <v>0</v>
      </c>
      <c r="T17" s="794">
        <f t="shared" si="3"/>
        <v>0</v>
      </c>
      <c r="U17" s="794">
        <f t="shared" si="4"/>
        <v>25.5299625</v>
      </c>
      <c r="V17" s="794">
        <f t="shared" si="5"/>
        <v>25.5299625</v>
      </c>
      <c r="W17" s="794">
        <f t="shared" si="6"/>
        <v>0</v>
      </c>
      <c r="X17" s="794">
        <f t="shared" si="7"/>
        <v>25.5299625</v>
      </c>
      <c r="Y17" s="795">
        <f t="shared" si="8"/>
        <v>25.5299625</v>
      </c>
      <c r="Z17"/>
      <c r="AA17"/>
      <c r="AB17" s="3003" t="s">
        <v>1335</v>
      </c>
      <c r="AC17" s="2573"/>
      <c r="AD17" s="2573"/>
      <c r="AE17" s="2573"/>
      <c r="AF17" s="2573"/>
      <c r="AG17" s="2573"/>
      <c r="AH17" s="2573"/>
      <c r="AI17" s="2630">
        <v>14</v>
      </c>
    </row>
    <row r="18" spans="2:35" s="436" customFormat="1" ht="14.95" customHeight="1" x14ac:dyDescent="0.2">
      <c r="B18" s="77"/>
      <c r="C18" s="2973" t="s">
        <v>1336</v>
      </c>
      <c r="D18" s="2622">
        <v>9200</v>
      </c>
      <c r="E18" s="2622">
        <v>20</v>
      </c>
      <c r="F18" s="2623">
        <f t="shared" si="9"/>
        <v>7360</v>
      </c>
      <c r="G18" s="2624">
        <v>12</v>
      </c>
      <c r="H18" s="2625">
        <v>0.15</v>
      </c>
      <c r="I18" s="223">
        <f>(F18*H18)+F18*H18*Preise!$M$10%</f>
        <v>1313.76</v>
      </c>
      <c r="J18" s="482">
        <f t="shared" si="0"/>
        <v>695.92786666666666</v>
      </c>
      <c r="K18" s="1029"/>
      <c r="L18" s="1029"/>
      <c r="M18" s="1029">
        <v>5</v>
      </c>
      <c r="N18" s="1029">
        <v>5</v>
      </c>
      <c r="O18" s="1029"/>
      <c r="P18" s="1029">
        <v>10</v>
      </c>
      <c r="Q18" s="1029">
        <v>20</v>
      </c>
      <c r="R18" s="223">
        <f t="shared" si="1"/>
        <v>40</v>
      </c>
      <c r="S18" s="793">
        <f t="shared" si="2"/>
        <v>0</v>
      </c>
      <c r="T18" s="794">
        <f t="shared" si="3"/>
        <v>0</v>
      </c>
      <c r="U18" s="794">
        <f t="shared" si="4"/>
        <v>17.398196666666667</v>
      </c>
      <c r="V18" s="794">
        <f t="shared" si="5"/>
        <v>17.398196666666667</v>
      </c>
      <c r="W18" s="794">
        <f t="shared" si="6"/>
        <v>0</v>
      </c>
      <c r="X18" s="794">
        <f t="shared" si="7"/>
        <v>17.398196666666667</v>
      </c>
      <c r="Y18" s="795">
        <f t="shared" si="8"/>
        <v>17.398196666666667</v>
      </c>
      <c r="Z18"/>
      <c r="AA18"/>
      <c r="AB18" s="3003" t="s">
        <v>1337</v>
      </c>
      <c r="AC18" s="2573"/>
      <c r="AD18" s="2573"/>
      <c r="AE18" s="2573"/>
      <c r="AF18" s="2573"/>
      <c r="AG18" s="2573"/>
      <c r="AH18" s="2573"/>
      <c r="AI18" s="2630">
        <v>14</v>
      </c>
    </row>
    <row r="19" spans="2:35" s="436" customFormat="1" ht="14.95" customHeight="1" x14ac:dyDescent="0.2">
      <c r="B19" s="77"/>
      <c r="C19" s="2973" t="s">
        <v>97</v>
      </c>
      <c r="D19" s="2622">
        <v>24000</v>
      </c>
      <c r="E19" s="2622">
        <v>20</v>
      </c>
      <c r="F19" s="2623">
        <f t="shared" si="9"/>
        <v>19200</v>
      </c>
      <c r="G19" s="2624">
        <v>12</v>
      </c>
      <c r="H19" s="2625">
        <v>0.15</v>
      </c>
      <c r="I19" s="223">
        <f>(F19*H19)+F19*H19*Preise!$M$10%</f>
        <v>3427.2</v>
      </c>
      <c r="J19" s="482">
        <f t="shared" si="0"/>
        <v>1815.4639999999999</v>
      </c>
      <c r="K19" s="1029"/>
      <c r="L19" s="1029"/>
      <c r="M19" s="1029"/>
      <c r="N19" s="1029">
        <v>5</v>
      </c>
      <c r="O19" s="1029"/>
      <c r="P19" s="1029">
        <v>10</v>
      </c>
      <c r="Q19" s="1029">
        <v>20</v>
      </c>
      <c r="R19" s="223">
        <f t="shared" si="1"/>
        <v>35</v>
      </c>
      <c r="S19" s="793">
        <f t="shared" si="2"/>
        <v>0</v>
      </c>
      <c r="T19" s="794">
        <f t="shared" si="3"/>
        <v>0</v>
      </c>
      <c r="U19" s="794">
        <f t="shared" si="4"/>
        <v>0</v>
      </c>
      <c r="V19" s="794">
        <f t="shared" si="5"/>
        <v>51.870399999999997</v>
      </c>
      <c r="W19" s="794">
        <f t="shared" si="6"/>
        <v>0</v>
      </c>
      <c r="X19" s="794">
        <f t="shared" si="7"/>
        <v>51.870399999999997</v>
      </c>
      <c r="Y19" s="795">
        <f t="shared" si="8"/>
        <v>51.870399999999997</v>
      </c>
      <c r="Z19"/>
      <c r="AA19"/>
      <c r="AB19" s="3003" t="s">
        <v>1338</v>
      </c>
      <c r="AC19" s="2573"/>
      <c r="AD19" s="2573"/>
      <c r="AE19" s="2573"/>
      <c r="AF19" s="2573"/>
      <c r="AG19" s="2573"/>
      <c r="AH19" s="2573"/>
      <c r="AI19" s="2630">
        <v>11</v>
      </c>
    </row>
    <row r="20" spans="2:35" s="436" customFormat="1" ht="14.95" customHeight="1" x14ac:dyDescent="0.2">
      <c r="B20" s="77"/>
      <c r="C20" s="2973" t="s">
        <v>633</v>
      </c>
      <c r="D20" s="2622">
        <v>10000</v>
      </c>
      <c r="E20" s="2622">
        <v>15</v>
      </c>
      <c r="F20" s="2623">
        <f>(100-E20)/100*D20</f>
        <v>8500</v>
      </c>
      <c r="G20" s="2624">
        <v>12</v>
      </c>
      <c r="H20" s="2625">
        <v>0.15</v>
      </c>
      <c r="I20" s="223">
        <f>(F20*H20)+F20*H20*Preise!$M$10%</f>
        <v>1517.25</v>
      </c>
      <c r="J20" s="482">
        <f t="shared" si="0"/>
        <v>803.72104166666668</v>
      </c>
      <c r="K20" s="1029"/>
      <c r="L20" s="1029"/>
      <c r="M20" s="1029">
        <v>5</v>
      </c>
      <c r="N20" s="1029">
        <v>5</v>
      </c>
      <c r="O20" s="1029"/>
      <c r="P20" s="1029">
        <v>10</v>
      </c>
      <c r="Q20" s="1029">
        <v>20</v>
      </c>
      <c r="R20" s="223">
        <f t="shared" si="1"/>
        <v>40</v>
      </c>
      <c r="S20" s="793">
        <f t="shared" si="2"/>
        <v>0</v>
      </c>
      <c r="T20" s="794">
        <f t="shared" si="3"/>
        <v>0</v>
      </c>
      <c r="U20" s="794">
        <f t="shared" si="4"/>
        <v>20.093026041666668</v>
      </c>
      <c r="V20" s="794">
        <f t="shared" si="5"/>
        <v>20.093026041666668</v>
      </c>
      <c r="W20" s="794">
        <f t="shared" si="6"/>
        <v>0</v>
      </c>
      <c r="X20" s="794">
        <f t="shared" si="7"/>
        <v>20.093026041666668</v>
      </c>
      <c r="Y20" s="795">
        <f t="shared" si="8"/>
        <v>20.093026041666668</v>
      </c>
      <c r="Z20"/>
      <c r="AA20"/>
      <c r="AB20" s="3003" t="s">
        <v>1372</v>
      </c>
      <c r="AC20" s="2573"/>
      <c r="AD20" s="2573"/>
      <c r="AE20" s="2573"/>
      <c r="AF20" s="2573"/>
      <c r="AG20" s="2573"/>
      <c r="AH20" s="2573"/>
      <c r="AI20" s="2630">
        <v>12</v>
      </c>
    </row>
    <row r="21" spans="2:35" s="436" customFormat="1" ht="14.95" customHeight="1" x14ac:dyDescent="0.2">
      <c r="B21" s="77"/>
      <c r="C21" s="2973" t="s">
        <v>1339</v>
      </c>
      <c r="D21" s="2622">
        <v>9400</v>
      </c>
      <c r="E21" s="2622">
        <v>15</v>
      </c>
      <c r="F21" s="2623">
        <f>(100-E21)/100*D21</f>
        <v>7990</v>
      </c>
      <c r="G21" s="2624">
        <v>12</v>
      </c>
      <c r="H21" s="2625">
        <v>0.15</v>
      </c>
      <c r="I21" s="223">
        <f>(F21*H21)+F21*H21*Preise!$M$10%</f>
        <v>1426.2149999999999</v>
      </c>
      <c r="J21" s="482">
        <f t="shared" si="0"/>
        <v>755.49777916666665</v>
      </c>
      <c r="K21" s="1029"/>
      <c r="L21" s="1029"/>
      <c r="M21" s="1029">
        <v>5</v>
      </c>
      <c r="N21" s="1029"/>
      <c r="O21" s="1029"/>
      <c r="P21" s="1029"/>
      <c r="Q21" s="1029">
        <v>20</v>
      </c>
      <c r="R21" s="223">
        <f t="shared" si="1"/>
        <v>25</v>
      </c>
      <c r="S21" s="793">
        <f t="shared" si="2"/>
        <v>0</v>
      </c>
      <c r="T21" s="794">
        <f t="shared" si="3"/>
        <v>0</v>
      </c>
      <c r="U21" s="794">
        <f t="shared" si="4"/>
        <v>30.219911166666666</v>
      </c>
      <c r="V21" s="794">
        <f t="shared" si="5"/>
        <v>0</v>
      </c>
      <c r="W21" s="794">
        <f t="shared" si="6"/>
        <v>0</v>
      </c>
      <c r="X21" s="794">
        <f t="shared" si="7"/>
        <v>0</v>
      </c>
      <c r="Y21" s="795">
        <f t="shared" si="8"/>
        <v>30.219911166666666</v>
      </c>
      <c r="Z21"/>
      <c r="AA21"/>
      <c r="AB21" s="3003" t="s">
        <v>1373</v>
      </c>
      <c r="AC21" s="2573"/>
      <c r="AD21" s="2573"/>
      <c r="AE21" s="2573"/>
      <c r="AF21" s="2573"/>
      <c r="AG21" s="2573"/>
      <c r="AH21" s="2573"/>
      <c r="AI21" s="2630">
        <v>12</v>
      </c>
    </row>
    <row r="22" spans="2:35" s="436" customFormat="1" ht="14.95" customHeight="1" x14ac:dyDescent="0.2">
      <c r="B22" s="77"/>
      <c r="C22" s="3081"/>
      <c r="D22" s="2622"/>
      <c r="E22" s="2622"/>
      <c r="F22" s="2623"/>
      <c r="G22" s="2624"/>
      <c r="H22" s="2625"/>
      <c r="I22" s="223"/>
      <c r="J22" s="482"/>
      <c r="K22" s="1029"/>
      <c r="L22" s="1029"/>
      <c r="M22" s="1029"/>
      <c r="N22" s="1029"/>
      <c r="O22" s="1029"/>
      <c r="P22" s="1029"/>
      <c r="Q22" s="1029"/>
      <c r="R22" s="223">
        <f t="shared" si="1"/>
        <v>0</v>
      </c>
      <c r="S22" s="793">
        <f t="shared" si="2"/>
        <v>0</v>
      </c>
      <c r="T22" s="794">
        <f t="shared" si="3"/>
        <v>0</v>
      </c>
      <c r="U22" s="794">
        <f t="shared" si="4"/>
        <v>0</v>
      </c>
      <c r="V22" s="794">
        <f t="shared" si="5"/>
        <v>0</v>
      </c>
      <c r="W22" s="794">
        <f t="shared" si="6"/>
        <v>0</v>
      </c>
      <c r="X22" s="794">
        <f t="shared" si="7"/>
        <v>0</v>
      </c>
      <c r="Y22" s="795">
        <f t="shared" si="8"/>
        <v>0</v>
      </c>
      <c r="Z22"/>
      <c r="AA22"/>
      <c r="AB22" s="2573"/>
      <c r="AC22" s="2573"/>
      <c r="AD22" s="2573"/>
      <c r="AE22" s="2573"/>
      <c r="AF22" s="2573"/>
      <c r="AG22" s="2573"/>
      <c r="AH22" s="2573"/>
      <c r="AI22" s="2630"/>
    </row>
    <row r="23" spans="2:35" s="436" customFormat="1" ht="14.95" customHeight="1" x14ac:dyDescent="0.2">
      <c r="B23" s="77"/>
      <c r="C23" s="2973" t="s">
        <v>277</v>
      </c>
      <c r="D23" s="2622">
        <v>15000</v>
      </c>
      <c r="E23" s="2622">
        <v>15</v>
      </c>
      <c r="F23" s="2623">
        <f>(100-E23)/100*D23</f>
        <v>12750</v>
      </c>
      <c r="G23" s="2624">
        <v>15</v>
      </c>
      <c r="H23" s="2625">
        <v>0.15</v>
      </c>
      <c r="I23" s="223">
        <f>(F23*H23)+F23*H23*Preise!$M$10%</f>
        <v>2275.875</v>
      </c>
      <c r="J23" s="482">
        <f>IF(G23=0,0,(F23*((100+$Q$5)/100)-I23)/G23+(F23*((100+$Q$5)/100)+I23)*$X$5/2/100)</f>
        <v>990.6378125</v>
      </c>
      <c r="K23" s="1029"/>
      <c r="L23" s="1029">
        <v>0</v>
      </c>
      <c r="M23" s="1029">
        <v>5</v>
      </c>
      <c r="N23" s="1029">
        <v>5</v>
      </c>
      <c r="O23" s="1029"/>
      <c r="P23" s="1029"/>
      <c r="Q23" s="1029">
        <v>20</v>
      </c>
      <c r="R23" s="223">
        <f t="shared" si="1"/>
        <v>30</v>
      </c>
      <c r="S23" s="793">
        <f t="shared" si="2"/>
        <v>0</v>
      </c>
      <c r="T23" s="794">
        <f t="shared" si="3"/>
        <v>0</v>
      </c>
      <c r="U23" s="794">
        <f t="shared" si="4"/>
        <v>33.021260416666664</v>
      </c>
      <c r="V23" s="794">
        <f t="shared" si="5"/>
        <v>33.021260416666664</v>
      </c>
      <c r="W23" s="794">
        <f t="shared" si="6"/>
        <v>0</v>
      </c>
      <c r="X23" s="794">
        <f t="shared" si="7"/>
        <v>0</v>
      </c>
      <c r="Y23" s="795">
        <f t="shared" si="8"/>
        <v>33.021260416666664</v>
      </c>
      <c r="Z23"/>
      <c r="AA23"/>
      <c r="AB23" s="3003" t="s">
        <v>1340</v>
      </c>
      <c r="AC23" s="2573"/>
      <c r="AD23" s="2573"/>
      <c r="AE23" s="2573"/>
      <c r="AF23" s="2573"/>
      <c r="AG23" s="2573"/>
      <c r="AH23" s="2573"/>
      <c r="AI23" s="2630">
        <v>15</v>
      </c>
    </row>
    <row r="24" spans="2:35" s="436" customFormat="1" ht="14.95" customHeight="1" x14ac:dyDescent="0.2">
      <c r="B24" s="77"/>
      <c r="C24" s="2973" t="s">
        <v>610</v>
      </c>
      <c r="D24" s="2622">
        <v>5600</v>
      </c>
      <c r="E24" s="2622">
        <v>30</v>
      </c>
      <c r="F24" s="2623">
        <f>(100-E24)/100*D24</f>
        <v>3919.9999999999995</v>
      </c>
      <c r="G24" s="2624">
        <v>15</v>
      </c>
      <c r="H24" s="2625">
        <v>0.15</v>
      </c>
      <c r="I24" s="223">
        <f>(F24*H24)+F24*H24*Preise!$M$10%</f>
        <v>699.71999999999991</v>
      </c>
      <c r="J24" s="482">
        <f>IF(G24=0,0,(F24*((100+$Q$5)/100)-I24)/G24+(F24*((100+$Q$5)/100)+I24)*$X$5/2/100)</f>
        <v>304.57256666666666</v>
      </c>
      <c r="K24" s="1029"/>
      <c r="L24" s="1029">
        <v>15</v>
      </c>
      <c r="M24" s="1029">
        <v>5</v>
      </c>
      <c r="N24" s="1029"/>
      <c r="O24" s="1029"/>
      <c r="P24" s="1029"/>
      <c r="Q24" s="1029"/>
      <c r="R24" s="223">
        <f t="shared" si="1"/>
        <v>20</v>
      </c>
      <c r="S24" s="793">
        <f t="shared" si="2"/>
        <v>0</v>
      </c>
      <c r="T24" s="794">
        <f t="shared" si="3"/>
        <v>15.228628333333333</v>
      </c>
      <c r="U24" s="794">
        <f t="shared" si="4"/>
        <v>15.228628333333333</v>
      </c>
      <c r="V24" s="794">
        <f t="shared" si="5"/>
        <v>0</v>
      </c>
      <c r="W24" s="794">
        <f t="shared" si="6"/>
        <v>0</v>
      </c>
      <c r="X24" s="794">
        <f t="shared" si="7"/>
        <v>0</v>
      </c>
      <c r="Y24" s="795">
        <f t="shared" si="8"/>
        <v>0</v>
      </c>
      <c r="Z24"/>
      <c r="AA24"/>
      <c r="AB24" s="3003" t="s">
        <v>1341</v>
      </c>
      <c r="AC24" s="2573"/>
      <c r="AD24" s="2573"/>
      <c r="AE24" s="2573"/>
      <c r="AF24" s="2573"/>
      <c r="AG24" s="2573"/>
      <c r="AH24" s="2573"/>
      <c r="AI24" s="2630">
        <v>10</v>
      </c>
    </row>
    <row r="25" spans="2:35" s="436" customFormat="1" ht="14.95" customHeight="1" x14ac:dyDescent="0.2">
      <c r="B25" s="77"/>
      <c r="C25" s="3081"/>
      <c r="D25" s="2622"/>
      <c r="E25" s="2622"/>
      <c r="F25" s="2623"/>
      <c r="G25" s="2624"/>
      <c r="H25" s="2625"/>
      <c r="I25" s="223"/>
      <c r="J25" s="482"/>
      <c r="K25" s="1029"/>
      <c r="L25" s="1029"/>
      <c r="M25" s="1029"/>
      <c r="N25" s="1029"/>
      <c r="O25" s="1029"/>
      <c r="P25" s="1029"/>
      <c r="Q25" s="1029"/>
      <c r="R25" s="223"/>
      <c r="S25" s="793"/>
      <c r="T25" s="794"/>
      <c r="U25" s="794">
        <f t="shared" ref="U25:U42" si="10">IF(M25=0,0,IF($R25=0,0,$J25/$R25))</f>
        <v>0</v>
      </c>
      <c r="V25" s="794">
        <f t="shared" ref="V25:V42" si="11">IF(N25=0,0,IF($R25=0,0,$J25/$R25))</f>
        <v>0</v>
      </c>
      <c r="W25" s="794"/>
      <c r="X25" s="794"/>
      <c r="Y25" s="795"/>
      <c r="Z25"/>
      <c r="AA25"/>
      <c r="AB25" s="2573"/>
      <c r="AC25" s="2573"/>
      <c r="AD25" s="2573"/>
      <c r="AE25" s="2573"/>
      <c r="AF25" s="2573"/>
      <c r="AG25" s="2573"/>
      <c r="AH25" s="2573"/>
      <c r="AI25" s="2630"/>
    </row>
    <row r="26" spans="2:35" s="436" customFormat="1" ht="14.95" customHeight="1" x14ac:dyDescent="0.2">
      <c r="B26" s="77"/>
      <c r="C26" s="3081"/>
      <c r="D26" s="2622"/>
      <c r="E26" s="2622"/>
      <c r="F26" s="2623">
        <f t="shared" ref="F26:F42" si="12">(100-E26)/100*D26</f>
        <v>0</v>
      </c>
      <c r="G26" s="2624"/>
      <c r="H26" s="2625"/>
      <c r="I26" s="223">
        <f>(F26*H26)+F26*H26*Preise!$M$10%</f>
        <v>0</v>
      </c>
      <c r="J26" s="482">
        <f t="shared" ref="J26:J42" si="13">IF(G26=0,0,(F26*((100+$Q$5)/100)-I26)/G26+(F26*((100+$Q$5)/100)+I26)*$X$5/2/100)</f>
        <v>0</v>
      </c>
      <c r="K26" s="1029"/>
      <c r="L26" s="1029"/>
      <c r="M26" s="1029"/>
      <c r="N26" s="1029"/>
      <c r="O26" s="1029"/>
      <c r="P26" s="1029"/>
      <c r="Q26" s="1029"/>
      <c r="R26" s="223">
        <f t="shared" ref="R26:R42" si="14">SUM(K26:Q26)</f>
        <v>0</v>
      </c>
      <c r="S26" s="793">
        <f t="shared" ref="S26:S42" si="15">IF(K26=0,0,IF($R26=0,0,$J26/$R26))</f>
        <v>0</v>
      </c>
      <c r="T26" s="794">
        <f t="shared" ref="T26:T42" si="16">IF(L26=0,0,IF($R26=0,0,$J26/$R26))</f>
        <v>0</v>
      </c>
      <c r="U26" s="794">
        <f t="shared" si="10"/>
        <v>0</v>
      </c>
      <c r="V26" s="794">
        <f t="shared" si="11"/>
        <v>0</v>
      </c>
      <c r="W26" s="794">
        <f t="shared" ref="W26:W40" si="17">IF(O26=0,0,IF($R26=0,0,$J26/$R26))</f>
        <v>0</v>
      </c>
      <c r="X26" s="794">
        <f t="shared" ref="X26:X40" si="18">IF(P26=0,0,IF($R26=0,0,$J26/$R26))</f>
        <v>0</v>
      </c>
      <c r="Y26" s="795">
        <f t="shared" ref="Y26:Y40" si="19">IF(Q26=0,0,IF($R26=0,0,$J26/$R26))</f>
        <v>0</v>
      </c>
      <c r="Z26"/>
      <c r="AA26"/>
      <c r="AB26" s="2573"/>
      <c r="AC26" s="2573"/>
      <c r="AD26" s="2573"/>
      <c r="AE26" s="2573"/>
      <c r="AF26" s="2573"/>
      <c r="AG26" s="2573"/>
      <c r="AH26" s="2573"/>
      <c r="AI26" s="2630"/>
    </row>
    <row r="27" spans="2:35" s="436" customFormat="1" ht="14.95" customHeight="1" x14ac:dyDescent="0.2">
      <c r="B27" s="77"/>
      <c r="C27" s="2973" t="s">
        <v>338</v>
      </c>
      <c r="D27" s="2622">
        <v>2700</v>
      </c>
      <c r="E27" s="2622">
        <v>10</v>
      </c>
      <c r="F27" s="2623">
        <f t="shared" si="12"/>
        <v>2430</v>
      </c>
      <c r="G27" s="2624">
        <v>15</v>
      </c>
      <c r="H27" s="2625">
        <v>0.15</v>
      </c>
      <c r="I27" s="223">
        <f>(F27*H27)+F27*H27*Preise!$M$10%</f>
        <v>433.755</v>
      </c>
      <c r="J27" s="482">
        <f t="shared" si="13"/>
        <v>188.80391249999997</v>
      </c>
      <c r="K27" s="1029">
        <v>45</v>
      </c>
      <c r="L27" s="1029">
        <v>15</v>
      </c>
      <c r="M27" s="1029"/>
      <c r="N27" s="1029"/>
      <c r="O27" s="1029"/>
      <c r="P27" s="1029"/>
      <c r="Q27" s="1029"/>
      <c r="R27" s="223">
        <f t="shared" si="14"/>
        <v>60</v>
      </c>
      <c r="S27" s="793">
        <f t="shared" si="15"/>
        <v>3.1467318749999995</v>
      </c>
      <c r="T27" s="794">
        <f t="shared" si="16"/>
        <v>3.1467318749999995</v>
      </c>
      <c r="U27" s="794">
        <f t="shared" si="10"/>
        <v>0</v>
      </c>
      <c r="V27" s="794">
        <f t="shared" si="11"/>
        <v>0</v>
      </c>
      <c r="W27" s="794">
        <f t="shared" si="17"/>
        <v>0</v>
      </c>
      <c r="X27" s="794">
        <f t="shared" si="18"/>
        <v>0</v>
      </c>
      <c r="Y27" s="795">
        <f t="shared" si="19"/>
        <v>0</v>
      </c>
      <c r="Z27"/>
      <c r="AA27"/>
      <c r="AB27" s="3003" t="s">
        <v>1374</v>
      </c>
      <c r="AC27" s="2573"/>
      <c r="AD27" s="2573"/>
      <c r="AE27" s="2573"/>
      <c r="AF27" s="2573"/>
      <c r="AG27" s="2573"/>
      <c r="AH27" s="2573"/>
      <c r="AI27" s="2630">
        <v>15</v>
      </c>
    </row>
    <row r="28" spans="2:35" s="436" customFormat="1" ht="14.95" customHeight="1" x14ac:dyDescent="0.2">
      <c r="B28" s="77"/>
      <c r="C28" s="2973" t="s">
        <v>339</v>
      </c>
      <c r="D28" s="2622">
        <v>3000</v>
      </c>
      <c r="E28" s="2622">
        <v>10</v>
      </c>
      <c r="F28" s="2623">
        <f t="shared" si="12"/>
        <v>2700</v>
      </c>
      <c r="G28" s="2624">
        <v>18</v>
      </c>
      <c r="H28" s="2625">
        <v>0.15</v>
      </c>
      <c r="I28" s="223">
        <f>(F28*H28)+F28*H28*Preise!$M$10%</f>
        <v>481.95</v>
      </c>
      <c r="J28" s="482">
        <f t="shared" si="13"/>
        <v>179.43712500000001</v>
      </c>
      <c r="K28" s="1029">
        <v>45</v>
      </c>
      <c r="L28" s="1029">
        <v>15</v>
      </c>
      <c r="M28" s="1029"/>
      <c r="N28" s="1029"/>
      <c r="O28" s="1029"/>
      <c r="P28" s="1029"/>
      <c r="Q28" s="1029"/>
      <c r="R28" s="223">
        <f t="shared" si="14"/>
        <v>60</v>
      </c>
      <c r="S28" s="793">
        <f t="shared" si="15"/>
        <v>2.9906187500000003</v>
      </c>
      <c r="T28" s="794">
        <f t="shared" si="16"/>
        <v>2.9906187500000003</v>
      </c>
      <c r="U28" s="794">
        <f t="shared" si="10"/>
        <v>0</v>
      </c>
      <c r="V28" s="794">
        <f t="shared" si="11"/>
        <v>0</v>
      </c>
      <c r="W28" s="794">
        <f t="shared" si="17"/>
        <v>0</v>
      </c>
      <c r="X28" s="794">
        <f t="shared" si="18"/>
        <v>0</v>
      </c>
      <c r="Y28" s="795">
        <f t="shared" si="19"/>
        <v>0</v>
      </c>
      <c r="Z28"/>
      <c r="AA28"/>
      <c r="AB28" s="3003" t="s">
        <v>1342</v>
      </c>
      <c r="AC28" s="2573"/>
      <c r="AD28" s="2573"/>
      <c r="AE28" s="2573"/>
      <c r="AF28" s="2573"/>
      <c r="AG28" s="2573"/>
      <c r="AH28" s="2573"/>
      <c r="AI28" s="2630">
        <v>18</v>
      </c>
    </row>
    <row r="29" spans="2:35" s="436" customFormat="1" ht="14.95" customHeight="1" x14ac:dyDescent="0.2">
      <c r="B29" s="77"/>
      <c r="C29" s="2973" t="s">
        <v>938</v>
      </c>
      <c r="D29" s="2622">
        <v>16000</v>
      </c>
      <c r="E29" s="2622">
        <v>10</v>
      </c>
      <c r="F29" s="2623">
        <f t="shared" si="12"/>
        <v>14400</v>
      </c>
      <c r="G29" s="2624">
        <v>12</v>
      </c>
      <c r="H29" s="2625">
        <v>0.15</v>
      </c>
      <c r="I29" s="223">
        <f>(F29*H29)+F29*H29*Preise!$M$10%</f>
        <v>2570.4</v>
      </c>
      <c r="J29" s="482">
        <f t="shared" si="13"/>
        <v>1361.598</v>
      </c>
      <c r="K29" s="1029">
        <v>45</v>
      </c>
      <c r="L29" s="1029"/>
      <c r="M29" s="1029"/>
      <c r="N29" s="1029"/>
      <c r="O29" s="1029"/>
      <c r="P29" s="1029">
        <v>10</v>
      </c>
      <c r="Q29" s="1029"/>
      <c r="R29" s="223">
        <f t="shared" si="14"/>
        <v>55</v>
      </c>
      <c r="S29" s="793">
        <f t="shared" si="15"/>
        <v>24.756327272727273</v>
      </c>
      <c r="T29" s="794">
        <f t="shared" si="16"/>
        <v>0</v>
      </c>
      <c r="U29" s="794">
        <f t="shared" si="10"/>
        <v>0</v>
      </c>
      <c r="V29" s="794">
        <f t="shared" si="11"/>
        <v>0</v>
      </c>
      <c r="W29" s="794">
        <f t="shared" si="17"/>
        <v>0</v>
      </c>
      <c r="X29" s="794">
        <f t="shared" si="18"/>
        <v>24.756327272727273</v>
      </c>
      <c r="Y29" s="795">
        <f t="shared" si="19"/>
        <v>0</v>
      </c>
      <c r="Z29"/>
      <c r="AA29"/>
      <c r="AB29" s="3003" t="s">
        <v>1343</v>
      </c>
      <c r="AC29" s="2573"/>
      <c r="AD29" s="2573"/>
      <c r="AE29" s="2573"/>
      <c r="AF29" s="2573"/>
      <c r="AG29" s="2573"/>
      <c r="AH29" s="2573"/>
      <c r="AI29" s="2630">
        <v>10</v>
      </c>
    </row>
    <row r="30" spans="2:35" s="436" customFormat="1" ht="14.95" customHeight="1" x14ac:dyDescent="0.2">
      <c r="B30" s="77"/>
      <c r="C30" s="2973" t="s">
        <v>1344</v>
      </c>
      <c r="D30" s="2622">
        <v>15000</v>
      </c>
      <c r="E30" s="2622">
        <v>10</v>
      </c>
      <c r="F30" s="2623">
        <f t="shared" si="12"/>
        <v>13500</v>
      </c>
      <c r="G30" s="2624">
        <v>12</v>
      </c>
      <c r="H30" s="2625">
        <v>0.15</v>
      </c>
      <c r="I30" s="223">
        <f>(F30*H30)+F30*H30*Preise!$M$10%</f>
        <v>2409.75</v>
      </c>
      <c r="J30" s="482">
        <f t="shared" si="13"/>
        <v>1276.4981250000001</v>
      </c>
      <c r="K30" s="1029">
        <v>45</v>
      </c>
      <c r="L30" s="1029"/>
      <c r="M30" s="1029"/>
      <c r="N30" s="1029"/>
      <c r="O30" s="1029"/>
      <c r="P30" s="1029">
        <v>10</v>
      </c>
      <c r="Q30" s="1029"/>
      <c r="R30" s="223">
        <f t="shared" si="14"/>
        <v>55</v>
      </c>
      <c r="S30" s="793">
        <f t="shared" si="15"/>
        <v>23.209056818181818</v>
      </c>
      <c r="T30" s="794">
        <f t="shared" si="16"/>
        <v>0</v>
      </c>
      <c r="U30" s="794">
        <f t="shared" si="10"/>
        <v>0</v>
      </c>
      <c r="V30" s="794">
        <f t="shared" si="11"/>
        <v>0</v>
      </c>
      <c r="W30" s="794">
        <f t="shared" si="17"/>
        <v>0</v>
      </c>
      <c r="X30" s="794">
        <f t="shared" si="18"/>
        <v>23.209056818181818</v>
      </c>
      <c r="Y30" s="795">
        <f t="shared" si="19"/>
        <v>0</v>
      </c>
      <c r="Z30"/>
      <c r="AA30"/>
      <c r="AB30" s="3003" t="s">
        <v>1343</v>
      </c>
      <c r="AC30" s="2573"/>
      <c r="AD30" s="2573"/>
      <c r="AE30" s="2573"/>
      <c r="AF30" s="2573"/>
      <c r="AG30" s="2573"/>
      <c r="AH30" s="2573"/>
      <c r="AI30" s="2630">
        <v>14</v>
      </c>
    </row>
    <row r="31" spans="2:35" s="436" customFormat="1" ht="14.95" customHeight="1" x14ac:dyDescent="0.2">
      <c r="B31" s="77"/>
      <c r="C31" s="2973" t="s">
        <v>60</v>
      </c>
      <c r="D31" s="2622">
        <v>8000</v>
      </c>
      <c r="E31" s="2622">
        <v>10</v>
      </c>
      <c r="F31" s="2623">
        <f t="shared" si="12"/>
        <v>7200</v>
      </c>
      <c r="G31" s="2624">
        <v>12</v>
      </c>
      <c r="H31" s="2625">
        <v>0.15</v>
      </c>
      <c r="I31" s="223">
        <f>(F31*H31)+F31*H31*Preise!$M$10%</f>
        <v>1285.2</v>
      </c>
      <c r="J31" s="482">
        <f t="shared" si="13"/>
        <v>680.79899999999998</v>
      </c>
      <c r="K31" s="1029">
        <v>45</v>
      </c>
      <c r="L31" s="1029"/>
      <c r="M31" s="1029"/>
      <c r="N31" s="1029"/>
      <c r="O31" s="1029"/>
      <c r="P31" s="1029">
        <v>10</v>
      </c>
      <c r="Q31" s="1029"/>
      <c r="R31" s="223">
        <f t="shared" si="14"/>
        <v>55</v>
      </c>
      <c r="S31" s="793">
        <f t="shared" si="15"/>
        <v>12.378163636363636</v>
      </c>
      <c r="T31" s="794">
        <f t="shared" si="16"/>
        <v>0</v>
      </c>
      <c r="U31" s="794">
        <f t="shared" si="10"/>
        <v>0</v>
      </c>
      <c r="V31" s="794">
        <f t="shared" si="11"/>
        <v>0</v>
      </c>
      <c r="W31" s="794">
        <f t="shared" si="17"/>
        <v>0</v>
      </c>
      <c r="X31" s="794">
        <f t="shared" si="18"/>
        <v>12.378163636363636</v>
      </c>
      <c r="Y31" s="795">
        <f t="shared" si="19"/>
        <v>0</v>
      </c>
      <c r="Z31"/>
      <c r="AA31"/>
      <c r="AB31" s="3003" t="s">
        <v>1345</v>
      </c>
      <c r="AC31" s="2573"/>
      <c r="AD31" s="2573"/>
      <c r="AE31" s="2573"/>
      <c r="AF31" s="2573"/>
      <c r="AG31" s="2573"/>
      <c r="AH31" s="2573"/>
      <c r="AI31" s="2630">
        <v>10</v>
      </c>
    </row>
    <row r="32" spans="2:35" s="436" customFormat="1" ht="14.95" customHeight="1" x14ac:dyDescent="0.2">
      <c r="B32" s="77"/>
      <c r="C32" s="2973" t="s">
        <v>284</v>
      </c>
      <c r="D32" s="2622">
        <v>25000</v>
      </c>
      <c r="E32" s="2622">
        <v>10</v>
      </c>
      <c r="F32" s="2623">
        <f t="shared" si="12"/>
        <v>22500</v>
      </c>
      <c r="G32" s="2624">
        <v>12</v>
      </c>
      <c r="H32" s="2625">
        <v>0.15</v>
      </c>
      <c r="I32" s="223">
        <f>(F32*H32)+F32*H32*Preise!$M$10%</f>
        <v>4016.25</v>
      </c>
      <c r="J32" s="482">
        <f t="shared" si="13"/>
        <v>2127.4968749999998</v>
      </c>
      <c r="K32" s="1029">
        <v>45</v>
      </c>
      <c r="L32" s="1029"/>
      <c r="M32" s="1029"/>
      <c r="N32" s="1029"/>
      <c r="O32" s="1029"/>
      <c r="P32" s="1029">
        <v>10</v>
      </c>
      <c r="Q32" s="1029"/>
      <c r="R32" s="223">
        <f t="shared" si="14"/>
        <v>55</v>
      </c>
      <c r="S32" s="793">
        <f t="shared" si="15"/>
        <v>38.681761363636362</v>
      </c>
      <c r="T32" s="794">
        <f t="shared" si="16"/>
        <v>0</v>
      </c>
      <c r="U32" s="794">
        <f t="shared" si="10"/>
        <v>0</v>
      </c>
      <c r="V32" s="794">
        <f t="shared" si="11"/>
        <v>0</v>
      </c>
      <c r="W32" s="794">
        <f t="shared" si="17"/>
        <v>0</v>
      </c>
      <c r="X32" s="794">
        <f t="shared" si="18"/>
        <v>38.681761363636362</v>
      </c>
      <c r="Y32" s="795">
        <f t="shared" si="19"/>
        <v>0</v>
      </c>
      <c r="Z32"/>
      <c r="AA32"/>
      <c r="AB32" s="3003" t="s">
        <v>1345</v>
      </c>
      <c r="AC32" s="2573"/>
      <c r="AD32" s="2573"/>
      <c r="AE32" s="2573"/>
      <c r="AF32" s="2573"/>
      <c r="AG32" s="2573"/>
      <c r="AH32" s="2573"/>
      <c r="AI32" s="2630">
        <v>10</v>
      </c>
    </row>
    <row r="33" spans="2:35" s="436" customFormat="1" ht="14.95" customHeight="1" x14ac:dyDescent="0.2">
      <c r="B33" s="77"/>
      <c r="C33" s="2973" t="s">
        <v>609</v>
      </c>
      <c r="D33" s="2622">
        <v>2000</v>
      </c>
      <c r="E33" s="2622"/>
      <c r="F33" s="2623">
        <f t="shared" si="12"/>
        <v>2000</v>
      </c>
      <c r="G33" s="2624">
        <v>15</v>
      </c>
      <c r="H33" s="2625">
        <v>0.15</v>
      </c>
      <c r="I33" s="223">
        <f>(F33*H33)+F33*H33*Preise!$M$10%</f>
        <v>357</v>
      </c>
      <c r="J33" s="482">
        <f t="shared" si="13"/>
        <v>155.39416666666668</v>
      </c>
      <c r="K33" s="1029"/>
      <c r="L33" s="1029">
        <v>15</v>
      </c>
      <c r="M33" s="1029"/>
      <c r="N33" s="1029"/>
      <c r="O33" s="1029"/>
      <c r="P33" s="1029"/>
      <c r="Q33" s="1029"/>
      <c r="R33" s="223">
        <f t="shared" si="14"/>
        <v>15</v>
      </c>
      <c r="S33" s="793">
        <f t="shared" si="15"/>
        <v>0</v>
      </c>
      <c r="T33" s="794">
        <f t="shared" si="16"/>
        <v>10.359611111111112</v>
      </c>
      <c r="U33" s="794">
        <f t="shared" si="10"/>
        <v>0</v>
      </c>
      <c r="V33" s="794">
        <f t="shared" si="11"/>
        <v>0</v>
      </c>
      <c r="W33" s="794">
        <f t="shared" si="17"/>
        <v>0</v>
      </c>
      <c r="X33" s="794">
        <f t="shared" si="18"/>
        <v>0</v>
      </c>
      <c r="Y33" s="795">
        <f t="shared" si="19"/>
        <v>0</v>
      </c>
      <c r="Z33"/>
      <c r="AA33"/>
      <c r="AB33" s="3003" t="s">
        <v>1375</v>
      </c>
      <c r="AC33" s="2573"/>
      <c r="AD33" s="2573"/>
      <c r="AE33" s="2573"/>
      <c r="AF33" s="2573"/>
      <c r="AG33" s="2573"/>
      <c r="AH33" s="2573"/>
      <c r="AI33" s="2630">
        <v>15</v>
      </c>
    </row>
    <row r="34" spans="2:35" s="436" customFormat="1" ht="14.95" customHeight="1" x14ac:dyDescent="0.2">
      <c r="B34" s="77"/>
      <c r="C34" s="3081"/>
      <c r="D34" s="2622"/>
      <c r="E34" s="2622"/>
      <c r="F34" s="2623">
        <f t="shared" si="12"/>
        <v>0</v>
      </c>
      <c r="G34" s="2624"/>
      <c r="H34" s="2625"/>
      <c r="I34" s="223">
        <f>(F34*H34)+F34*H34*Preise!$M$10%</f>
        <v>0</v>
      </c>
      <c r="J34" s="482">
        <f t="shared" si="13"/>
        <v>0</v>
      </c>
      <c r="K34" s="1029"/>
      <c r="L34" s="1029"/>
      <c r="M34" s="1029"/>
      <c r="N34" s="1029"/>
      <c r="O34" s="1029"/>
      <c r="P34" s="1029"/>
      <c r="Q34" s="1029"/>
      <c r="R34" s="223">
        <f t="shared" si="14"/>
        <v>0</v>
      </c>
      <c r="S34" s="793">
        <f t="shared" si="15"/>
        <v>0</v>
      </c>
      <c r="T34" s="794">
        <f t="shared" si="16"/>
        <v>0</v>
      </c>
      <c r="U34" s="794">
        <f t="shared" si="10"/>
        <v>0</v>
      </c>
      <c r="V34" s="794">
        <f t="shared" si="11"/>
        <v>0</v>
      </c>
      <c r="W34" s="794">
        <f t="shared" si="17"/>
        <v>0</v>
      </c>
      <c r="X34" s="794">
        <f t="shared" si="18"/>
        <v>0</v>
      </c>
      <c r="Y34" s="795">
        <f t="shared" si="19"/>
        <v>0</v>
      </c>
      <c r="Z34"/>
      <c r="AA34"/>
      <c r="AB34" s="2573"/>
      <c r="AC34" s="2573"/>
      <c r="AD34" s="2573"/>
      <c r="AE34" s="2573"/>
      <c r="AF34" s="2573"/>
      <c r="AG34" s="2573"/>
      <c r="AH34" s="2573"/>
      <c r="AI34" s="2630"/>
    </row>
    <row r="35" spans="2:35" s="436" customFormat="1" ht="14.95" customHeight="1" x14ac:dyDescent="0.2">
      <c r="B35" s="77"/>
      <c r="C35" s="3081"/>
      <c r="D35" s="2622"/>
      <c r="E35" s="2622"/>
      <c r="F35" s="2623">
        <f t="shared" si="12"/>
        <v>0</v>
      </c>
      <c r="G35" s="2624"/>
      <c r="H35" s="2625"/>
      <c r="I35" s="223">
        <f>(F35*H35)+F35*H35*Preise!$M$10%</f>
        <v>0</v>
      </c>
      <c r="J35" s="482">
        <f t="shared" si="13"/>
        <v>0</v>
      </c>
      <c r="K35" s="1029"/>
      <c r="L35" s="1029"/>
      <c r="M35" s="1029"/>
      <c r="N35" s="1029"/>
      <c r="O35" s="1029"/>
      <c r="P35" s="1029"/>
      <c r="Q35" s="1029"/>
      <c r="R35" s="223">
        <f t="shared" si="14"/>
        <v>0</v>
      </c>
      <c r="S35" s="793">
        <f t="shared" si="15"/>
        <v>0</v>
      </c>
      <c r="T35" s="794">
        <f t="shared" si="16"/>
        <v>0</v>
      </c>
      <c r="U35" s="794">
        <f t="shared" si="10"/>
        <v>0</v>
      </c>
      <c r="V35" s="794">
        <f t="shared" si="11"/>
        <v>0</v>
      </c>
      <c r="W35" s="794">
        <f t="shared" si="17"/>
        <v>0</v>
      </c>
      <c r="X35" s="794">
        <f t="shared" si="18"/>
        <v>0</v>
      </c>
      <c r="Y35" s="795">
        <f t="shared" si="19"/>
        <v>0</v>
      </c>
      <c r="Z35"/>
      <c r="AA35"/>
      <c r="AB35" s="2573"/>
      <c r="AC35" s="2573"/>
      <c r="AD35" s="2573"/>
      <c r="AE35" s="2573"/>
      <c r="AF35" s="2573"/>
      <c r="AG35" s="2573"/>
      <c r="AH35" s="2573"/>
      <c r="AI35" s="2630"/>
    </row>
    <row r="36" spans="2:35" s="436" customFormat="1" ht="14.95" customHeight="1" x14ac:dyDescent="0.2">
      <c r="B36" s="77"/>
      <c r="C36" s="2973" t="s">
        <v>1195</v>
      </c>
      <c r="D36" s="2622">
        <v>30000</v>
      </c>
      <c r="E36" s="2622">
        <v>15</v>
      </c>
      <c r="F36" s="2623">
        <f t="shared" si="12"/>
        <v>25500</v>
      </c>
      <c r="G36" s="2624">
        <v>12</v>
      </c>
      <c r="H36" s="2625">
        <v>0.15</v>
      </c>
      <c r="I36" s="223">
        <f>(F36*H36)+F36*H36*Preise!$M$10%</f>
        <v>4551.75</v>
      </c>
      <c r="J36" s="482">
        <f t="shared" si="13"/>
        <v>2411.163125</v>
      </c>
      <c r="K36" s="1029">
        <v>45</v>
      </c>
      <c r="L36" s="1029"/>
      <c r="M36" s="1029"/>
      <c r="N36" s="1029"/>
      <c r="O36" s="1029"/>
      <c r="P36" s="1029">
        <v>10</v>
      </c>
      <c r="Q36" s="1029"/>
      <c r="R36" s="223">
        <f t="shared" si="14"/>
        <v>55</v>
      </c>
      <c r="S36" s="793">
        <f t="shared" si="15"/>
        <v>43.839329545454547</v>
      </c>
      <c r="T36" s="794">
        <f t="shared" si="16"/>
        <v>0</v>
      </c>
      <c r="U36" s="794">
        <f t="shared" si="10"/>
        <v>0</v>
      </c>
      <c r="V36" s="794">
        <f t="shared" si="11"/>
        <v>0</v>
      </c>
      <c r="W36" s="794">
        <f t="shared" si="17"/>
        <v>0</v>
      </c>
      <c r="X36" s="794">
        <f t="shared" si="18"/>
        <v>43.839329545454547</v>
      </c>
      <c r="Y36" s="795">
        <f t="shared" si="19"/>
        <v>0</v>
      </c>
      <c r="Z36"/>
      <c r="AA36"/>
      <c r="AB36" s="3003" t="s">
        <v>1348</v>
      </c>
      <c r="AC36" s="2573"/>
      <c r="AD36" s="2573"/>
      <c r="AE36" s="2573"/>
      <c r="AF36" s="2573"/>
      <c r="AG36" s="2573"/>
      <c r="AH36" s="2573"/>
      <c r="AI36" s="2630">
        <v>8</v>
      </c>
    </row>
    <row r="37" spans="2:35" s="436" customFormat="1" ht="14.95" customHeight="1" x14ac:dyDescent="0.2">
      <c r="B37" s="77"/>
      <c r="C37" s="2973" t="s">
        <v>1349</v>
      </c>
      <c r="D37" s="2622">
        <v>6400</v>
      </c>
      <c r="E37" s="2622">
        <v>10</v>
      </c>
      <c r="F37" s="2623">
        <f t="shared" si="12"/>
        <v>5760</v>
      </c>
      <c r="G37" s="2624">
        <v>12</v>
      </c>
      <c r="H37" s="2625">
        <v>0.15</v>
      </c>
      <c r="I37" s="223">
        <f>(F37*H37)+F37*H37*Preise!$M$10%</f>
        <v>1028.1600000000001</v>
      </c>
      <c r="J37" s="482">
        <f t="shared" si="13"/>
        <v>544.63919999999996</v>
      </c>
      <c r="K37" s="1029">
        <v>45</v>
      </c>
      <c r="L37" s="1029"/>
      <c r="M37" s="1029"/>
      <c r="N37" s="1029"/>
      <c r="O37" s="1029"/>
      <c r="P37" s="1029"/>
      <c r="Q37" s="1029"/>
      <c r="R37" s="223">
        <f t="shared" si="14"/>
        <v>45</v>
      </c>
      <c r="S37" s="793">
        <f t="shared" si="15"/>
        <v>12.103093333333332</v>
      </c>
      <c r="T37" s="794">
        <f t="shared" si="16"/>
        <v>0</v>
      </c>
      <c r="U37" s="794">
        <f t="shared" si="10"/>
        <v>0</v>
      </c>
      <c r="V37" s="794">
        <f t="shared" si="11"/>
        <v>0</v>
      </c>
      <c r="W37" s="794">
        <f t="shared" si="17"/>
        <v>0</v>
      </c>
      <c r="X37" s="794">
        <f t="shared" si="18"/>
        <v>0</v>
      </c>
      <c r="Y37" s="795">
        <f t="shared" si="19"/>
        <v>0</v>
      </c>
      <c r="Z37"/>
      <c r="AA37"/>
      <c r="AB37" s="3003" t="s">
        <v>1350</v>
      </c>
      <c r="AC37" s="2573"/>
      <c r="AD37" s="2573"/>
      <c r="AE37" s="2573"/>
      <c r="AF37" s="2573"/>
      <c r="AG37" s="2573"/>
      <c r="AH37" s="2573"/>
      <c r="AI37" s="2630">
        <v>12</v>
      </c>
    </row>
    <row r="38" spans="2:35" s="1949" customFormat="1" ht="14.95" customHeight="1" x14ac:dyDescent="0.2">
      <c r="B38" s="1947"/>
      <c r="C38" s="2973" t="s">
        <v>939</v>
      </c>
      <c r="D38" s="2622">
        <v>32000</v>
      </c>
      <c r="E38" s="2622">
        <v>10</v>
      </c>
      <c r="F38" s="2623">
        <f t="shared" si="12"/>
        <v>28800</v>
      </c>
      <c r="G38" s="2624">
        <v>12</v>
      </c>
      <c r="H38" s="2625">
        <v>0.15</v>
      </c>
      <c r="I38" s="2623">
        <f>(F38*H38)+F38*H38*Preise!$M$10%</f>
        <v>5140.8</v>
      </c>
      <c r="J38" s="2632">
        <f t="shared" si="13"/>
        <v>2723.1959999999999</v>
      </c>
      <c r="K38" s="2633"/>
      <c r="L38" s="2633"/>
      <c r="M38" s="2633"/>
      <c r="N38" s="2633"/>
      <c r="O38" s="2633"/>
      <c r="P38" s="2633"/>
      <c r="Q38" s="2633"/>
      <c r="R38" s="2623">
        <f t="shared" si="14"/>
        <v>0</v>
      </c>
      <c r="S38" s="2634">
        <f t="shared" si="15"/>
        <v>0</v>
      </c>
      <c r="T38" s="794">
        <f t="shared" si="16"/>
        <v>0</v>
      </c>
      <c r="U38" s="794">
        <f t="shared" si="10"/>
        <v>0</v>
      </c>
      <c r="V38" s="794">
        <f t="shared" si="11"/>
        <v>0</v>
      </c>
      <c r="W38" s="1948">
        <f t="shared" si="17"/>
        <v>0</v>
      </c>
      <c r="X38" s="1948">
        <f t="shared" si="18"/>
        <v>0</v>
      </c>
      <c r="Y38" s="2901">
        <f t="shared" si="19"/>
        <v>0</v>
      </c>
      <c r="Z38"/>
      <c r="AA38"/>
      <c r="AB38" s="3003" t="s">
        <v>1346</v>
      </c>
      <c r="AI38" s="2631">
        <v>10</v>
      </c>
    </row>
    <row r="39" spans="2:35" s="3003" customFormat="1" ht="14.95" customHeight="1" x14ac:dyDescent="0.2">
      <c r="B39" s="3083"/>
      <c r="C39" s="2973" t="s">
        <v>940</v>
      </c>
      <c r="D39" s="3084">
        <v>41000</v>
      </c>
      <c r="E39" s="3084">
        <v>10</v>
      </c>
      <c r="F39" s="3085">
        <f t="shared" si="12"/>
        <v>36900</v>
      </c>
      <c r="G39" s="3086">
        <v>12</v>
      </c>
      <c r="H39" s="3087">
        <v>0.15</v>
      </c>
      <c r="I39" s="3085">
        <f>(F39*H39)+F39*H39*Preise!$M$10%</f>
        <v>6586.65</v>
      </c>
      <c r="J39" s="3088">
        <f t="shared" si="13"/>
        <v>3489.0948749999998</v>
      </c>
      <c r="K39" s="3089"/>
      <c r="L39" s="3089"/>
      <c r="M39" s="3089"/>
      <c r="N39" s="3089"/>
      <c r="O39" s="3089"/>
      <c r="P39" s="3089"/>
      <c r="Q39" s="3089"/>
      <c r="R39" s="3085">
        <f t="shared" si="14"/>
        <v>0</v>
      </c>
      <c r="S39" s="3090">
        <f t="shared" si="15"/>
        <v>0</v>
      </c>
      <c r="T39" s="3091">
        <f t="shared" si="16"/>
        <v>0</v>
      </c>
      <c r="U39" s="3091">
        <f t="shared" si="10"/>
        <v>0</v>
      </c>
      <c r="V39" s="3091">
        <f t="shared" si="11"/>
        <v>0</v>
      </c>
      <c r="W39" s="3091">
        <f t="shared" si="17"/>
        <v>0</v>
      </c>
      <c r="X39" s="3091">
        <f t="shared" si="18"/>
        <v>0</v>
      </c>
      <c r="Y39" s="2901">
        <f t="shared" si="19"/>
        <v>0</v>
      </c>
      <c r="Z39" s="405"/>
      <c r="AA39" s="405"/>
      <c r="AB39" s="3003" t="s">
        <v>1347</v>
      </c>
      <c r="AI39" s="3092">
        <v>10</v>
      </c>
    </row>
    <row r="40" spans="2:35" s="436" customFormat="1" ht="14.95" customHeight="1" x14ac:dyDescent="0.2">
      <c r="B40" s="77"/>
      <c r="C40" s="3081"/>
      <c r="D40" s="2622"/>
      <c r="E40" s="2622"/>
      <c r="F40" s="2623">
        <f t="shared" si="12"/>
        <v>0</v>
      </c>
      <c r="G40" s="2624"/>
      <c r="H40" s="2625"/>
      <c r="I40" s="223">
        <f>(F40*H40)+F40*H40*Preise!$M$10%</f>
        <v>0</v>
      </c>
      <c r="J40" s="482">
        <f t="shared" si="13"/>
        <v>0</v>
      </c>
      <c r="K40" s="1029"/>
      <c r="L40" s="1029"/>
      <c r="M40" s="1029"/>
      <c r="N40" s="1029"/>
      <c r="O40" s="1029"/>
      <c r="P40" s="1029"/>
      <c r="Q40" s="1029"/>
      <c r="R40" s="223">
        <f t="shared" si="14"/>
        <v>0</v>
      </c>
      <c r="S40" s="793">
        <f t="shared" si="15"/>
        <v>0</v>
      </c>
      <c r="T40" s="794">
        <f t="shared" si="16"/>
        <v>0</v>
      </c>
      <c r="U40" s="794">
        <f t="shared" si="10"/>
        <v>0</v>
      </c>
      <c r="V40" s="794">
        <f t="shared" si="11"/>
        <v>0</v>
      </c>
      <c r="W40" s="794">
        <f t="shared" si="17"/>
        <v>0</v>
      </c>
      <c r="X40" s="794">
        <f t="shared" si="18"/>
        <v>0</v>
      </c>
      <c r="Y40" s="795">
        <f t="shared" si="19"/>
        <v>0</v>
      </c>
      <c r="Z40"/>
      <c r="AA40"/>
      <c r="AB40" s="2573"/>
      <c r="AC40" s="2573"/>
      <c r="AD40" s="2573"/>
      <c r="AE40" s="2573"/>
      <c r="AF40" s="2573"/>
      <c r="AG40" s="2573"/>
      <c r="AH40" s="2573"/>
      <c r="AI40" s="2630"/>
    </row>
    <row r="41" spans="2:35" s="436" customFormat="1" ht="14.95" customHeight="1" x14ac:dyDescent="0.2">
      <c r="B41" s="77"/>
      <c r="C41" s="2973" t="s">
        <v>61</v>
      </c>
      <c r="D41" s="2622">
        <v>10000</v>
      </c>
      <c r="E41" s="2622"/>
      <c r="F41" s="2623">
        <f t="shared" si="12"/>
        <v>10000</v>
      </c>
      <c r="G41" s="2624">
        <v>15</v>
      </c>
      <c r="H41" s="2625">
        <v>0.15</v>
      </c>
      <c r="I41" s="223">
        <f>(F41*H41)+F41*H41*Preise!$M$10%</f>
        <v>1785</v>
      </c>
      <c r="J41" s="482">
        <f t="shared" si="13"/>
        <v>776.97083333333342</v>
      </c>
      <c r="K41" s="1029">
        <v>45</v>
      </c>
      <c r="L41" s="1029">
        <v>15</v>
      </c>
      <c r="M41" s="1029">
        <v>5</v>
      </c>
      <c r="N41" s="1029">
        <v>5</v>
      </c>
      <c r="O41" s="1029"/>
      <c r="P41" s="1029">
        <v>10</v>
      </c>
      <c r="Q41" s="1029">
        <v>20</v>
      </c>
      <c r="R41" s="223">
        <f t="shared" si="14"/>
        <v>100</v>
      </c>
      <c r="S41" s="793">
        <f t="shared" si="15"/>
        <v>7.7697083333333339</v>
      </c>
      <c r="T41" s="794">
        <f t="shared" si="16"/>
        <v>7.7697083333333339</v>
      </c>
      <c r="U41" s="794">
        <f t="shared" si="10"/>
        <v>7.7697083333333339</v>
      </c>
      <c r="V41" s="794">
        <f t="shared" si="11"/>
        <v>7.7697083333333339</v>
      </c>
      <c r="W41" s="794">
        <f>IF(O41=0,0,IF($R41=0,0,$J41/$R41))</f>
        <v>0</v>
      </c>
      <c r="X41" s="794">
        <f>IF(Q41=0,0,IF($R41=0,0,$J41/$R41))</f>
        <v>7.7697083333333339</v>
      </c>
      <c r="Y41" s="795">
        <f>IF(R41=0,0,IF($R41=0,0,$J41/$R41))</f>
        <v>7.7697083333333339</v>
      </c>
      <c r="Z41"/>
      <c r="AA41"/>
      <c r="AB41" s="2573" t="s">
        <v>56</v>
      </c>
      <c r="AC41" s="2573"/>
      <c r="AD41" s="2573"/>
      <c r="AE41" s="2573"/>
      <c r="AF41" s="2573"/>
      <c r="AG41" s="2573"/>
      <c r="AH41" s="2573"/>
      <c r="AI41" s="2630"/>
    </row>
    <row r="42" spans="2:35" s="436" customFormat="1" ht="14.95" customHeight="1" x14ac:dyDescent="0.2">
      <c r="B42" s="80"/>
      <c r="C42" s="3082"/>
      <c r="D42" s="2626"/>
      <c r="E42" s="2626"/>
      <c r="F42" s="2627">
        <f t="shared" si="12"/>
        <v>0</v>
      </c>
      <c r="G42" s="2628"/>
      <c r="H42" s="2629"/>
      <c r="I42" s="567">
        <f>(F42*H42)+F42*H42*Preise!$M$10%</f>
        <v>0</v>
      </c>
      <c r="J42" s="643">
        <f t="shared" si="13"/>
        <v>0</v>
      </c>
      <c r="K42" s="1030"/>
      <c r="L42" s="1030"/>
      <c r="M42" s="1030"/>
      <c r="N42" s="1030"/>
      <c r="O42" s="1030"/>
      <c r="P42" s="1030"/>
      <c r="Q42" s="1030"/>
      <c r="R42" s="223">
        <f t="shared" si="14"/>
        <v>0</v>
      </c>
      <c r="S42" s="796">
        <f t="shared" si="15"/>
        <v>0</v>
      </c>
      <c r="T42" s="797">
        <f t="shared" si="16"/>
        <v>0</v>
      </c>
      <c r="U42" s="797">
        <f t="shared" si="10"/>
        <v>0</v>
      </c>
      <c r="V42" s="794">
        <f t="shared" si="11"/>
        <v>0</v>
      </c>
      <c r="W42" s="797">
        <f>IF(O42=0,0,IF($R42=0,0,$J42/$R42))</f>
        <v>0</v>
      </c>
      <c r="X42" s="797">
        <f>IF(P42=0,0,IF($R42=0,0,$J42/$R42))</f>
        <v>0</v>
      </c>
      <c r="Y42" s="798">
        <f>IF(Q42=0,0,IF($R42=0,0,$J42/$R42))</f>
        <v>0</v>
      </c>
      <c r="Z42"/>
      <c r="AA42"/>
      <c r="AB42" s="78"/>
    </row>
    <row r="43" spans="2:35" ht="19.55" customHeight="1" x14ac:dyDescent="0.2">
      <c r="B43" s="799"/>
      <c r="C43" s="1405" t="s">
        <v>17</v>
      </c>
      <c r="D43" s="800"/>
      <c r="E43" s="800"/>
      <c r="F43" s="801">
        <f>SUM(F13:F42)</f>
        <v>413510</v>
      </c>
      <c r="G43" s="800"/>
      <c r="H43" s="1025"/>
      <c r="I43" s="802">
        <f>SUM(I13:I42)</f>
        <v>73811.534999999989</v>
      </c>
      <c r="J43" s="801">
        <f>SUM(J13:J42)</f>
        <v>35611.621179166665</v>
      </c>
      <c r="K43" s="800"/>
      <c r="L43" s="800"/>
      <c r="M43" s="800"/>
      <c r="N43" s="800"/>
      <c r="O43" s="800"/>
      <c r="P43" s="800"/>
      <c r="Q43" s="800"/>
      <c r="R43" s="734"/>
      <c r="S43" s="1735">
        <f t="shared" ref="S43:W43" si="20">SUM(S13:S42)</f>
        <v>312.80863780303025</v>
      </c>
      <c r="T43" s="803">
        <f t="shared" si="20"/>
        <v>111.17085777777777</v>
      </c>
      <c r="U43" s="803">
        <f>SUM(U13:U42)</f>
        <v>293.19454033333335</v>
      </c>
      <c r="V43" s="804">
        <f t="shared" si="20"/>
        <v>299.61640083333333</v>
      </c>
      <c r="W43" s="803">
        <f t="shared" si="20"/>
        <v>0</v>
      </c>
      <c r="X43" s="803">
        <f>SUM(X13:X42)</f>
        <v>409.45977905303033</v>
      </c>
      <c r="Y43" s="805">
        <f>SUM(Y13:Y42)</f>
        <v>329.83631200000002</v>
      </c>
      <c r="Z43"/>
      <c r="AA43"/>
      <c r="AB43" s="438"/>
    </row>
    <row r="44" spans="2:35" s="436" customFormat="1" ht="16.5" customHeight="1" x14ac:dyDescent="0.2">
      <c r="C44" s="1406"/>
      <c r="H44" s="1023"/>
      <c r="Z44"/>
      <c r="AA44"/>
    </row>
    <row r="45" spans="2:35" s="436" customFormat="1" ht="16.5" customHeight="1" x14ac:dyDescent="0.2">
      <c r="C45" s="1406"/>
      <c r="H45" s="3005"/>
      <c r="R45" s="3004" t="s">
        <v>1267</v>
      </c>
      <c r="S45" s="3006">
        <f>S43-S29-S31-S32</f>
        <v>236.99238553030298</v>
      </c>
      <c r="Z45"/>
      <c r="AA45"/>
    </row>
    <row r="46" spans="2:35" s="436" customFormat="1" ht="16.5" customHeight="1" x14ac:dyDescent="0.2">
      <c r="C46" s="1406"/>
      <c r="H46" s="1023"/>
      <c r="Z46"/>
      <c r="AA46"/>
    </row>
    <row r="47" spans="2:35" ht="15.65" x14ac:dyDescent="0.2">
      <c r="B47" s="776"/>
      <c r="C47" s="1407" t="s">
        <v>62</v>
      </c>
      <c r="D47" s="778" t="s">
        <v>10</v>
      </c>
      <c r="E47" s="778" t="s">
        <v>11</v>
      </c>
      <c r="F47" s="778" t="s">
        <v>12</v>
      </c>
      <c r="G47" s="778" t="s">
        <v>13</v>
      </c>
      <c r="H47" s="806"/>
      <c r="I47" s="807" t="s">
        <v>63</v>
      </c>
      <c r="J47" s="778" t="s">
        <v>64</v>
      </c>
      <c r="K47" s="779" t="s">
        <v>65</v>
      </c>
      <c r="L47" s="780"/>
      <c r="M47" s="780"/>
      <c r="N47" s="780"/>
      <c r="O47" s="780"/>
      <c r="P47" s="780"/>
      <c r="Q47" s="780"/>
      <c r="R47" s="778" t="s">
        <v>17</v>
      </c>
      <c r="S47" s="1737" t="s">
        <v>353</v>
      </c>
      <c r="T47" s="781"/>
      <c r="U47" s="781"/>
      <c r="V47" s="781"/>
      <c r="W47" s="781"/>
      <c r="X47" s="781"/>
      <c r="Y47" s="782"/>
      <c r="AA47" s="438"/>
      <c r="AB47" s="438"/>
    </row>
    <row r="48" spans="2:35" s="436" customFormat="1" ht="16.5" customHeight="1" x14ac:dyDescent="0.2">
      <c r="B48" s="784"/>
      <c r="C48" s="1401" t="s">
        <v>354</v>
      </c>
      <c r="D48" s="785" t="s">
        <v>19</v>
      </c>
      <c r="E48" s="785" t="s">
        <v>20</v>
      </c>
      <c r="F48" s="785" t="s">
        <v>21</v>
      </c>
      <c r="G48" s="785" t="s">
        <v>22</v>
      </c>
      <c r="H48" s="808"/>
      <c r="I48" s="808" t="s">
        <v>355</v>
      </c>
      <c r="J48" s="785" t="s">
        <v>356</v>
      </c>
      <c r="K48" s="3001" t="s">
        <v>3</v>
      </c>
      <c r="L48" s="785" t="s">
        <v>253</v>
      </c>
      <c r="M48" s="785" t="s">
        <v>544</v>
      </c>
      <c r="N48" s="785" t="s">
        <v>494</v>
      </c>
      <c r="O48" s="785" t="s">
        <v>545</v>
      </c>
      <c r="P48" s="785" t="s">
        <v>546</v>
      </c>
      <c r="Q48" s="785" t="s">
        <v>546</v>
      </c>
      <c r="R48" s="785" t="s">
        <v>548</v>
      </c>
      <c r="S48" s="3002" t="s">
        <v>3</v>
      </c>
      <c r="T48" s="787" t="s">
        <v>253</v>
      </c>
      <c r="U48" s="787" t="s">
        <v>544</v>
      </c>
      <c r="V48" s="787" t="s">
        <v>494</v>
      </c>
      <c r="W48" s="787" t="s">
        <v>545</v>
      </c>
      <c r="X48" s="787" t="s">
        <v>546</v>
      </c>
      <c r="Y48" s="3007" t="s">
        <v>547</v>
      </c>
      <c r="Z48" s="434"/>
    </row>
    <row r="49" spans="2:28" s="436" customFormat="1" ht="16.5" customHeight="1" x14ac:dyDescent="0.2">
      <c r="B49" s="784"/>
      <c r="C49" s="1401" t="s">
        <v>357</v>
      </c>
      <c r="D49" s="786" t="s">
        <v>550</v>
      </c>
      <c r="E49" s="785" t="s">
        <v>551</v>
      </c>
      <c r="F49" s="786" t="s">
        <v>550</v>
      </c>
      <c r="G49" s="785"/>
      <c r="H49" s="808"/>
      <c r="I49" s="808" t="s">
        <v>358</v>
      </c>
      <c r="J49" s="786" t="s">
        <v>359</v>
      </c>
      <c r="K49" s="3001" t="s">
        <v>523</v>
      </c>
      <c r="L49" s="785"/>
      <c r="M49" s="785" t="s">
        <v>78</v>
      </c>
      <c r="N49" s="785"/>
      <c r="O49" s="785" t="s">
        <v>79</v>
      </c>
      <c r="P49" s="785" t="s">
        <v>547</v>
      </c>
      <c r="Q49" s="785" t="s">
        <v>547</v>
      </c>
      <c r="R49" s="785"/>
      <c r="S49" s="3000" t="s">
        <v>523</v>
      </c>
      <c r="T49" s="787"/>
      <c r="U49" s="787" t="s">
        <v>78</v>
      </c>
      <c r="V49" s="787"/>
      <c r="W49" s="787" t="s">
        <v>79</v>
      </c>
      <c r="X49" s="787" t="s">
        <v>547</v>
      </c>
      <c r="Y49" s="3007" t="s">
        <v>484</v>
      </c>
      <c r="Z49" s="434"/>
    </row>
    <row r="50" spans="2:28" s="436" customFormat="1" ht="16.5" customHeight="1" x14ac:dyDescent="0.2">
      <c r="B50" s="789"/>
      <c r="C50" s="1408"/>
      <c r="D50" s="3048" t="s">
        <v>83</v>
      </c>
      <c r="E50" s="3048" t="s">
        <v>487</v>
      </c>
      <c r="F50" s="3048" t="s">
        <v>83</v>
      </c>
      <c r="G50" s="3048" t="s">
        <v>58</v>
      </c>
      <c r="H50" s="809"/>
      <c r="I50" s="809" t="s">
        <v>360</v>
      </c>
      <c r="J50" s="3048" t="s">
        <v>361</v>
      </c>
      <c r="K50" s="790"/>
      <c r="L50" s="790"/>
      <c r="M50" s="790"/>
      <c r="N50" s="790"/>
      <c r="O50" s="790"/>
      <c r="P50" s="790" t="s">
        <v>82</v>
      </c>
      <c r="Q50" s="790" t="s">
        <v>80</v>
      </c>
      <c r="R50" s="790" t="s">
        <v>5</v>
      </c>
      <c r="S50" s="791"/>
      <c r="T50" s="791"/>
      <c r="U50" s="791"/>
      <c r="V50" s="791"/>
      <c r="W50" s="791"/>
      <c r="X50" s="791" t="s">
        <v>82</v>
      </c>
      <c r="Y50" s="792" t="s">
        <v>1246</v>
      </c>
      <c r="Z50" s="434"/>
    </row>
    <row r="51" spans="2:28" s="436" customFormat="1" ht="16.5" customHeight="1" x14ac:dyDescent="0.2">
      <c r="B51" s="77"/>
      <c r="C51" s="1403" t="s">
        <v>362</v>
      </c>
      <c r="D51" s="86">
        <v>50000</v>
      </c>
      <c r="E51" s="86">
        <v>10</v>
      </c>
      <c r="F51" s="223">
        <f>(100-E51)/100*D51</f>
        <v>45000</v>
      </c>
      <c r="G51" s="248">
        <v>20</v>
      </c>
      <c r="H51" s="1026"/>
      <c r="I51" s="489">
        <v>1</v>
      </c>
      <c r="J51" s="482">
        <f>IF(G51=0,0,(F51*((100+$Q$5)/100))/G51+(F51*((100+$Q$5)/100))*$X$6/2/100+(F51*((100+$Q$5)/100))*I51/100)</f>
        <v>3882.375</v>
      </c>
      <c r="K51" s="86">
        <v>50</v>
      </c>
      <c r="L51" s="86">
        <v>15</v>
      </c>
      <c r="M51" s="86">
        <v>5</v>
      </c>
      <c r="N51" s="86">
        <v>5</v>
      </c>
      <c r="O51" s="86"/>
      <c r="P51" s="86">
        <v>5</v>
      </c>
      <c r="Q51" s="86">
        <v>20</v>
      </c>
      <c r="R51" s="223">
        <f>SUM(K51:Q51)</f>
        <v>100</v>
      </c>
      <c r="S51" s="793">
        <f t="shared" ref="S51:Y53" si="21">IF(K51=0,0,IF($R51=0,0,$J51/$R51))</f>
        <v>38.823749999999997</v>
      </c>
      <c r="T51" s="794">
        <f t="shared" si="21"/>
        <v>38.823749999999997</v>
      </c>
      <c r="U51" s="794">
        <f t="shared" si="21"/>
        <v>38.823749999999997</v>
      </c>
      <c r="V51" s="794">
        <f t="shared" si="21"/>
        <v>38.823749999999997</v>
      </c>
      <c r="W51" s="794">
        <f t="shared" si="21"/>
        <v>0</v>
      </c>
      <c r="X51" s="794">
        <f t="shared" si="21"/>
        <v>38.823749999999997</v>
      </c>
      <c r="Y51" s="795">
        <f t="shared" si="21"/>
        <v>38.823749999999997</v>
      </c>
      <c r="Z51" s="434" t="s">
        <v>57</v>
      </c>
    </row>
    <row r="52" spans="2:28" s="436" customFormat="1" ht="16.5" customHeight="1" x14ac:dyDescent="0.2">
      <c r="B52" s="77"/>
      <c r="C52" s="1403"/>
      <c r="D52" s="86"/>
      <c r="E52" s="86"/>
      <c r="F52" s="223">
        <f>(100-E52)/100*D52</f>
        <v>0</v>
      </c>
      <c r="G52" s="248"/>
      <c r="H52" s="1026"/>
      <c r="I52" s="489"/>
      <c r="J52" s="482">
        <f>IF(G52=0,0,(F52*((100+$Q$5)/100))/G52+(F52*((100+$Q$5)/100))*$X$6/2/100+(F52*((100+$Q$5)/100))*I52/100)</f>
        <v>0</v>
      </c>
      <c r="K52" s="86"/>
      <c r="L52" s="86"/>
      <c r="M52" s="86"/>
      <c r="N52" s="86"/>
      <c r="O52" s="86"/>
      <c r="P52" s="86"/>
      <c r="Q52" s="86"/>
      <c r="R52" s="223">
        <f>SUM(K52:Q52)</f>
        <v>0</v>
      </c>
      <c r="S52" s="793">
        <f t="shared" si="21"/>
        <v>0</v>
      </c>
      <c r="T52" s="794">
        <f t="shared" si="21"/>
        <v>0</v>
      </c>
      <c r="U52" s="794">
        <f t="shared" si="21"/>
        <v>0</v>
      </c>
      <c r="V52" s="794">
        <f t="shared" si="21"/>
        <v>0</v>
      </c>
      <c r="W52" s="794">
        <f t="shared" si="21"/>
        <v>0</v>
      </c>
      <c r="X52" s="794">
        <f t="shared" si="21"/>
        <v>0</v>
      </c>
      <c r="Y52" s="795">
        <f t="shared" si="21"/>
        <v>0</v>
      </c>
      <c r="Z52" s="434"/>
    </row>
    <row r="53" spans="2:28" s="436" customFormat="1" ht="16.5" customHeight="1" x14ac:dyDescent="0.2">
      <c r="B53" s="80"/>
      <c r="C53" s="1404"/>
      <c r="D53" s="397"/>
      <c r="E53" s="397"/>
      <c r="F53" s="485">
        <f>(100-E53)/100*D53</f>
        <v>0</v>
      </c>
      <c r="G53" s="481"/>
      <c r="H53" s="1027"/>
      <c r="I53" s="490"/>
      <c r="J53" s="483">
        <f>IF(G53=0,0,(F53*((100+$Q$5)/100))/G53+(F53*((100+$Q$5)/100))*$X$6/2/100+(F53*((100+$Q$5)/100))*I53/100)</f>
        <v>0</v>
      </c>
      <c r="K53" s="397"/>
      <c r="L53" s="397"/>
      <c r="M53" s="397"/>
      <c r="N53" s="397"/>
      <c r="O53" s="397"/>
      <c r="P53" s="397"/>
      <c r="Q53" s="397"/>
      <c r="R53" s="485">
        <f>SUM(K53:Q53)</f>
        <v>0</v>
      </c>
      <c r="S53" s="796">
        <f t="shared" si="21"/>
        <v>0</v>
      </c>
      <c r="T53" s="797">
        <f t="shared" si="21"/>
        <v>0</v>
      </c>
      <c r="U53" s="797">
        <f t="shared" si="21"/>
        <v>0</v>
      </c>
      <c r="V53" s="797">
        <f t="shared" si="21"/>
        <v>0</v>
      </c>
      <c r="W53" s="797">
        <f t="shared" si="21"/>
        <v>0</v>
      </c>
      <c r="X53" s="797">
        <f t="shared" si="21"/>
        <v>0</v>
      </c>
      <c r="Y53" s="798">
        <f t="shared" si="21"/>
        <v>0</v>
      </c>
      <c r="Z53" s="434"/>
    </row>
    <row r="54" spans="2:28" ht="19.55" customHeight="1" x14ac:dyDescent="0.2">
      <c r="B54" s="799"/>
      <c r="C54" s="1409"/>
      <c r="D54" s="800"/>
      <c r="E54" s="800"/>
      <c r="F54" s="801">
        <f>SUM(F51:F53)</f>
        <v>45000</v>
      </c>
      <c r="G54" s="800"/>
      <c r="H54" s="1025"/>
      <c r="I54" s="800"/>
      <c r="J54" s="801">
        <f>SUM(J51:J53)</f>
        <v>3882.375</v>
      </c>
      <c r="K54" s="800"/>
      <c r="L54" s="800"/>
      <c r="M54" s="800"/>
      <c r="N54" s="800"/>
      <c r="O54" s="800"/>
      <c r="P54" s="800"/>
      <c r="Q54" s="800"/>
      <c r="R54" s="491"/>
      <c r="S54" s="1906">
        <f t="shared" ref="S54:Y54" si="22">SUM(S51:S53)</f>
        <v>38.823749999999997</v>
      </c>
      <c r="T54" s="810">
        <f t="shared" si="22"/>
        <v>38.823749999999997</v>
      </c>
      <c r="U54" s="810">
        <f t="shared" si="22"/>
        <v>38.823749999999997</v>
      </c>
      <c r="V54" s="810">
        <f t="shared" si="22"/>
        <v>38.823749999999997</v>
      </c>
      <c r="W54" s="810">
        <f t="shared" si="22"/>
        <v>0</v>
      </c>
      <c r="X54" s="810">
        <f t="shared" si="22"/>
        <v>38.823749999999997</v>
      </c>
      <c r="Y54" s="811">
        <f t="shared" si="22"/>
        <v>38.823749999999997</v>
      </c>
      <c r="AA54" s="438"/>
      <c r="AB54" s="438"/>
    </row>
    <row r="55" spans="2:28" s="436" customFormat="1" ht="16.5" customHeight="1" x14ac:dyDescent="0.2">
      <c r="C55" s="3004"/>
      <c r="H55" s="1023"/>
      <c r="Z55" s="434"/>
    </row>
    <row r="56" spans="2:28" s="436" customFormat="1" ht="16.5" customHeight="1" x14ac:dyDescent="0.2">
      <c r="D56" s="3003"/>
      <c r="H56" s="1023"/>
      <c r="Z56" s="434"/>
    </row>
    <row r="57" spans="2:28" s="436" customFormat="1" ht="16.5" customHeight="1" x14ac:dyDescent="0.2">
      <c r="H57" s="1023"/>
      <c r="Z57" s="434"/>
    </row>
    <row r="58" spans="2:28" s="436" customFormat="1" ht="16.5" customHeight="1" x14ac:dyDescent="0.2">
      <c r="H58" s="1023"/>
      <c r="Z58" s="434"/>
    </row>
    <row r="59" spans="2:28" s="436" customFormat="1" ht="16.5" customHeight="1" x14ac:dyDescent="0.2">
      <c r="H59" s="1023"/>
      <c r="Z59" s="434"/>
    </row>
    <row r="60" spans="2:28" s="436" customFormat="1" ht="16.5" customHeight="1" x14ac:dyDescent="0.2">
      <c r="H60" s="1023"/>
      <c r="Z60" s="434"/>
    </row>
    <row r="61" spans="2:28" s="436" customFormat="1" ht="16.5" customHeight="1" x14ac:dyDescent="0.2">
      <c r="H61" s="1023"/>
      <c r="Z61" s="434"/>
    </row>
    <row r="62" spans="2:28" s="436" customFormat="1" ht="16.5" customHeight="1" x14ac:dyDescent="0.2">
      <c r="H62" s="1023"/>
      <c r="Z62" s="434"/>
    </row>
    <row r="63" spans="2:28" s="436" customFormat="1" ht="16.5" customHeight="1" x14ac:dyDescent="0.2">
      <c r="H63" s="1023"/>
      <c r="Z63" s="434"/>
    </row>
    <row r="64" spans="2:28" s="436" customFormat="1" ht="16.5" customHeight="1" x14ac:dyDescent="0.2">
      <c r="H64" s="1023"/>
      <c r="Z64" s="434"/>
    </row>
    <row r="65" spans="8:26" s="436" customFormat="1" ht="16.5" customHeight="1" x14ac:dyDescent="0.2">
      <c r="H65" s="1023"/>
      <c r="Z65" s="434"/>
    </row>
    <row r="66" spans="8:26" s="436" customFormat="1" ht="16.5" customHeight="1" x14ac:dyDescent="0.2">
      <c r="H66" s="1023"/>
      <c r="Z66" s="434"/>
    </row>
    <row r="67" spans="8:26" s="436" customFormat="1" ht="16.5" customHeight="1" x14ac:dyDescent="0.2">
      <c r="H67" s="1023"/>
      <c r="Z67" s="434"/>
    </row>
    <row r="68" spans="8:26" s="436" customFormat="1" ht="16.5" customHeight="1" x14ac:dyDescent="0.2">
      <c r="H68" s="1023"/>
      <c r="Z68" s="434"/>
    </row>
    <row r="69" spans="8:26" s="436" customFormat="1" ht="16.5" customHeight="1" x14ac:dyDescent="0.2">
      <c r="H69" s="1023"/>
      <c r="Z69" s="434"/>
    </row>
    <row r="70" spans="8:26" s="436" customFormat="1" ht="16.5" customHeight="1" x14ac:dyDescent="0.2">
      <c r="H70" s="1023"/>
      <c r="Z70" s="434"/>
    </row>
    <row r="71" spans="8:26" s="436" customFormat="1" ht="16.5" customHeight="1" x14ac:dyDescent="0.2">
      <c r="H71" s="1023"/>
      <c r="Z71" s="434"/>
    </row>
    <row r="72" spans="8:26" s="436" customFormat="1" ht="16.5" customHeight="1" x14ac:dyDescent="0.2">
      <c r="H72" s="1023"/>
      <c r="Z72" s="434"/>
    </row>
    <row r="73" spans="8:26" s="436" customFormat="1" ht="16.5" customHeight="1" x14ac:dyDescent="0.2">
      <c r="H73" s="1023"/>
      <c r="Z73" s="434"/>
    </row>
    <row r="74" spans="8:26" s="436" customFormat="1" ht="16.5" customHeight="1" x14ac:dyDescent="0.2">
      <c r="H74" s="1023"/>
      <c r="Z74" s="434"/>
    </row>
    <row r="75" spans="8:26" s="436" customFormat="1" ht="16.5" customHeight="1" x14ac:dyDescent="0.2">
      <c r="H75" s="1023"/>
      <c r="Z75" s="434"/>
    </row>
    <row r="76" spans="8:26" s="436" customFormat="1" ht="16.5" customHeight="1" x14ac:dyDescent="0.2">
      <c r="H76" s="1023"/>
      <c r="Z76" s="434"/>
    </row>
    <row r="77" spans="8:26" s="436" customFormat="1" ht="16.5" customHeight="1" x14ac:dyDescent="0.2">
      <c r="H77" s="1023"/>
      <c r="Z77" s="434"/>
    </row>
    <row r="78" spans="8:26" s="436" customFormat="1" ht="16.5" customHeight="1" x14ac:dyDescent="0.2">
      <c r="H78" s="1023"/>
      <c r="Z78" s="434"/>
    </row>
    <row r="79" spans="8:26" s="436" customFormat="1" ht="16.5" customHeight="1" x14ac:dyDescent="0.2">
      <c r="H79" s="1023"/>
      <c r="Z79" s="434"/>
    </row>
    <row r="80" spans="8:26" s="436" customFormat="1" ht="16.5" customHeight="1" x14ac:dyDescent="0.2">
      <c r="H80" s="1023"/>
      <c r="Z80" s="434"/>
    </row>
    <row r="81" spans="8:26" s="436" customFormat="1" ht="16.5" customHeight="1" x14ac:dyDescent="0.2">
      <c r="H81" s="1023"/>
      <c r="Z81" s="434"/>
    </row>
    <row r="82" spans="8:26" s="436" customFormat="1" ht="16.5" customHeight="1" x14ac:dyDescent="0.2">
      <c r="H82" s="1023"/>
      <c r="Z82" s="434"/>
    </row>
    <row r="83" spans="8:26" s="436" customFormat="1" ht="16.5" customHeight="1" x14ac:dyDescent="0.2">
      <c r="H83" s="1023"/>
      <c r="Z83" s="434"/>
    </row>
    <row r="84" spans="8:26" s="436" customFormat="1" ht="16.5" customHeight="1" x14ac:dyDescent="0.2">
      <c r="H84" s="1023"/>
      <c r="Z84" s="434"/>
    </row>
    <row r="85" spans="8:26" s="436" customFormat="1" ht="16.5" customHeight="1" x14ac:dyDescent="0.2">
      <c r="H85" s="1023"/>
      <c r="Z85" s="434"/>
    </row>
    <row r="86" spans="8:26" s="436" customFormat="1" ht="16.5" customHeight="1" x14ac:dyDescent="0.2">
      <c r="H86" s="1023"/>
      <c r="Z86" s="434"/>
    </row>
    <row r="87" spans="8:26" s="436" customFormat="1" ht="16.5" customHeight="1" x14ac:dyDescent="0.2">
      <c r="H87" s="1023"/>
      <c r="Z87" s="434"/>
    </row>
    <row r="88" spans="8:26" s="436" customFormat="1" ht="16.5" customHeight="1" x14ac:dyDescent="0.2">
      <c r="H88" s="1023"/>
      <c r="Z88" s="434"/>
    </row>
    <row r="89" spans="8:26" s="436" customFormat="1" ht="16.5" customHeight="1" x14ac:dyDescent="0.2">
      <c r="H89" s="1023"/>
      <c r="Z89" s="434"/>
    </row>
    <row r="90" spans="8:26" s="436" customFormat="1" ht="16.5" customHeight="1" x14ac:dyDescent="0.2">
      <c r="H90" s="1023"/>
      <c r="Z90" s="434"/>
    </row>
    <row r="91" spans="8:26" s="436" customFormat="1" ht="16.5" customHeight="1" x14ac:dyDescent="0.2">
      <c r="H91" s="1023"/>
      <c r="Z91" s="434"/>
    </row>
    <row r="92" spans="8:26" s="436" customFormat="1" ht="16.5" customHeight="1" x14ac:dyDescent="0.2">
      <c r="H92" s="1023"/>
      <c r="Z92" s="434"/>
    </row>
    <row r="93" spans="8:26" s="436" customFormat="1" ht="16.5" customHeight="1" x14ac:dyDescent="0.2">
      <c r="H93" s="1023"/>
      <c r="Z93" s="434"/>
    </row>
    <row r="94" spans="8:26" s="436" customFormat="1" ht="16.5" customHeight="1" x14ac:dyDescent="0.2">
      <c r="H94" s="1023"/>
      <c r="Z94" s="434"/>
    </row>
    <row r="95" spans="8:26" s="436" customFormat="1" ht="16.5" customHeight="1" x14ac:dyDescent="0.2">
      <c r="H95" s="1023"/>
      <c r="Z95" s="434"/>
    </row>
    <row r="96" spans="8:26" s="436" customFormat="1" ht="16.5" customHeight="1" x14ac:dyDescent="0.2">
      <c r="H96" s="1023"/>
      <c r="Z96" s="434"/>
    </row>
    <row r="97" spans="8:26" s="436" customFormat="1" ht="16.5" customHeight="1" x14ac:dyDescent="0.2">
      <c r="H97" s="1023"/>
      <c r="Z97" s="434"/>
    </row>
    <row r="98" spans="8:26" s="436" customFormat="1" ht="16.5" customHeight="1" x14ac:dyDescent="0.2">
      <c r="H98" s="1023"/>
      <c r="Z98" s="434"/>
    </row>
    <row r="99" spans="8:26" s="436" customFormat="1" ht="16.5" customHeight="1" x14ac:dyDescent="0.2">
      <c r="H99" s="1023"/>
      <c r="Z99" s="434"/>
    </row>
    <row r="100" spans="8:26" s="436" customFormat="1" ht="16.5" customHeight="1" x14ac:dyDescent="0.2">
      <c r="H100" s="1023"/>
      <c r="Z100" s="434"/>
    </row>
    <row r="101" spans="8:26" s="436" customFormat="1" ht="16.5" customHeight="1" x14ac:dyDescent="0.2">
      <c r="H101" s="1023"/>
      <c r="Z101" s="434"/>
    </row>
    <row r="102" spans="8:26" s="436" customFormat="1" ht="16.5" customHeight="1" x14ac:dyDescent="0.2">
      <c r="H102" s="1023"/>
      <c r="Z102" s="434"/>
    </row>
    <row r="103" spans="8:26" s="436" customFormat="1" ht="16.5" customHeight="1" x14ac:dyDescent="0.2">
      <c r="H103" s="1023"/>
      <c r="Z103" s="434"/>
    </row>
    <row r="104" spans="8:26" s="436" customFormat="1" ht="16.5" customHeight="1" x14ac:dyDescent="0.2">
      <c r="H104" s="1023"/>
      <c r="Z104" s="434"/>
    </row>
    <row r="105" spans="8:26" s="436" customFormat="1" ht="16.5" customHeight="1" x14ac:dyDescent="0.2">
      <c r="H105" s="1023"/>
      <c r="Z105" s="434"/>
    </row>
    <row r="106" spans="8:26" s="436" customFormat="1" ht="16.5" customHeight="1" x14ac:dyDescent="0.2">
      <c r="H106" s="1023"/>
      <c r="Z106" s="434"/>
    </row>
    <row r="107" spans="8:26" s="436" customFormat="1" ht="16.5" customHeight="1" x14ac:dyDescent="0.2">
      <c r="H107" s="1023"/>
      <c r="Z107" s="434"/>
    </row>
    <row r="108" spans="8:26" s="436" customFormat="1" ht="16.5" customHeight="1" x14ac:dyDescent="0.2">
      <c r="H108" s="1023"/>
      <c r="Z108" s="434"/>
    </row>
    <row r="109" spans="8:26" s="436" customFormat="1" ht="16.5" customHeight="1" x14ac:dyDescent="0.2">
      <c r="H109" s="1023"/>
      <c r="Z109" s="434"/>
    </row>
    <row r="110" spans="8:26" s="436" customFormat="1" ht="16.5" customHeight="1" x14ac:dyDescent="0.2">
      <c r="H110" s="1023"/>
      <c r="Z110" s="434"/>
    </row>
    <row r="111" spans="8:26" s="436" customFormat="1" ht="16.5" customHeight="1" x14ac:dyDescent="0.2">
      <c r="H111" s="1023"/>
      <c r="Z111" s="434"/>
    </row>
    <row r="112" spans="8:26" s="436" customFormat="1" ht="16.5" customHeight="1" x14ac:dyDescent="0.2">
      <c r="H112" s="1023"/>
      <c r="Z112" s="434"/>
    </row>
    <row r="113" spans="8:26" s="436" customFormat="1" ht="16.5" customHeight="1" x14ac:dyDescent="0.2">
      <c r="H113" s="1023"/>
      <c r="Z113" s="434"/>
    </row>
    <row r="114" spans="8:26" s="436" customFormat="1" ht="16.5" customHeight="1" x14ac:dyDescent="0.2">
      <c r="H114" s="1023"/>
      <c r="Z114" s="434"/>
    </row>
    <row r="115" spans="8:26" s="436" customFormat="1" ht="16.5" customHeight="1" x14ac:dyDescent="0.2">
      <c r="H115" s="1023"/>
      <c r="Z115" s="434"/>
    </row>
    <row r="116" spans="8:26" s="436" customFormat="1" ht="16.5" customHeight="1" x14ac:dyDescent="0.2">
      <c r="H116" s="1023"/>
      <c r="Z116" s="434"/>
    </row>
    <row r="117" spans="8:26" s="436" customFormat="1" ht="16.5" customHeight="1" x14ac:dyDescent="0.2">
      <c r="H117" s="1023"/>
      <c r="Z117" s="434"/>
    </row>
    <row r="118" spans="8:26" s="436" customFormat="1" ht="16.5" customHeight="1" x14ac:dyDescent="0.2">
      <c r="H118" s="1023"/>
      <c r="Z118" s="434"/>
    </row>
    <row r="119" spans="8:26" s="436" customFormat="1" ht="16.5" customHeight="1" x14ac:dyDescent="0.2">
      <c r="H119" s="1023"/>
      <c r="Z119" s="434"/>
    </row>
    <row r="120" spans="8:26" s="436" customFormat="1" ht="16.5" customHeight="1" x14ac:dyDescent="0.2">
      <c r="H120" s="1023"/>
      <c r="Z120" s="434"/>
    </row>
    <row r="121" spans="8:26" s="436" customFormat="1" ht="16.5" customHeight="1" x14ac:dyDescent="0.2">
      <c r="H121" s="1023"/>
      <c r="Z121" s="434"/>
    </row>
  </sheetData>
  <sheetProtection sheet="1" objects="1" scenarios="1"/>
  <customSheetViews>
    <customSheetView guid="{32760361-675F-4FBF-A5CA-B0597C10371F}" scale="72" showGridLines="0" zeroValues="0" fitToPage="1" hiddenColumns="1">
      <pane xSplit="3" ySplit="12" topLeftCell="F19" activePane="bottomRight" state="frozen"/>
      <selection pane="bottomRight" activeCell="Q33" sqref="Q33"/>
      <pageMargins left="0.5" right="0.28000000000000003" top="0.54" bottom="0.5" header="0.51181102362204722" footer="0.31496062992125984"/>
      <printOptions horizontalCentered="1"/>
      <pageSetup paperSize="9" scale="64" firstPageNumber="15" orientation="landscape" useFirstPageNumber="1" verticalDpi="360" r:id="rId1"/>
      <headerFooter alignWithMargins="0">
        <oddFooter>&amp;L&amp;12LEL Schwäbisch Gmünd (Abtlg. II)
LAZBW Aulendorf&amp;C&amp;12 17&amp;R&amp;12&amp;F
&amp;A</oddFooter>
      </headerFooter>
    </customSheetView>
  </customSheetViews>
  <mergeCells count="4">
    <mergeCell ref="Y9:Y12"/>
    <mergeCell ref="J8:J11"/>
    <mergeCell ref="H8:H9"/>
    <mergeCell ref="C1:G1"/>
  </mergeCells>
  <phoneticPr fontId="0" type="noConversion"/>
  <hyperlinks>
    <hyperlink ref="C1:G1" location="Inhalt!A1:A10" display="zurück zum Inhaltsverzeichnis"/>
  </hyperlinks>
  <printOptions horizontalCentered="1"/>
  <pageMargins left="0.5" right="0.28000000000000003" top="0.54" bottom="0.5" header="0.51181102362204722" footer="0.31496062992125984"/>
  <pageSetup paperSize="9" scale="64" firstPageNumber="15" orientation="landscape" useFirstPageNumber="1" verticalDpi="360" r:id="rId2"/>
  <headerFooter alignWithMargins="0">
    <oddFooter>&amp;L&amp;12LEL Schwäbisch Gmünd (Abtlg. II)
LAZBW Aulendorf&amp;C&amp;12 17&amp;R&amp;12&amp;F
&amp;A</oddFooter>
  </headerFooter>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AQ139"/>
  <sheetViews>
    <sheetView showGridLines="0" showZeros="0" zoomScaleNormal="100" zoomScaleSheetLayoutView="75" workbookViewId="0">
      <selection activeCell="B5" sqref="B5:M7"/>
    </sheetView>
  </sheetViews>
  <sheetFormatPr baseColWidth="10" defaultColWidth="11.375" defaultRowHeight="12.9" x14ac:dyDescent="0.2"/>
  <cols>
    <col min="1" max="1" width="2" style="8" customWidth="1"/>
    <col min="2" max="2" width="6.875" style="8" customWidth="1"/>
    <col min="3" max="3" width="1" style="7" customWidth="1"/>
    <col min="4" max="4" width="12.375" style="7" customWidth="1"/>
    <col min="5" max="5" width="7.375" style="7" customWidth="1"/>
    <col min="6" max="6" width="10.875" style="7" customWidth="1"/>
    <col min="7" max="7" width="8.5" style="7" customWidth="1"/>
    <col min="8" max="9" width="10.625" style="41" customWidth="1"/>
    <col min="10" max="10" width="9.625" style="41" customWidth="1"/>
    <col min="11" max="11" width="10.625" style="41" customWidth="1"/>
    <col min="12" max="12" width="10" style="41" customWidth="1"/>
    <col min="13" max="15" width="7.625" style="41" customWidth="1"/>
    <col min="16" max="16" width="11"/>
    <col min="17" max="17" width="22" style="7" customWidth="1"/>
    <col min="18" max="18" width="9.875" style="7" customWidth="1"/>
    <col min="19" max="16384" width="11.375" style="8"/>
  </cols>
  <sheetData>
    <row r="1" spans="1:43" ht="18.350000000000001" x14ac:dyDescent="0.2">
      <c r="D1" s="3169" t="s">
        <v>176</v>
      </c>
      <c r="E1" s="3169"/>
      <c r="F1" s="3169"/>
      <c r="G1" s="3169"/>
      <c r="H1" s="3169"/>
    </row>
    <row r="2" spans="1:43" ht="29.25" customHeight="1" x14ac:dyDescent="0.2">
      <c r="A2" s="42"/>
      <c r="B2" s="1110" t="s">
        <v>363</v>
      </c>
      <c r="C2" s="1111"/>
      <c r="D2" s="341"/>
      <c r="E2" s="1111"/>
      <c r="F2" s="1111"/>
      <c r="G2" s="1111"/>
      <c r="H2" s="341"/>
      <c r="I2" s="341"/>
      <c r="J2" s="341"/>
      <c r="K2" s="341"/>
      <c r="L2" s="341"/>
      <c r="M2" s="1112"/>
      <c r="N2"/>
      <c r="O2"/>
    </row>
    <row r="3" spans="1:43" ht="21.25" customHeight="1" x14ac:dyDescent="0.2">
      <c r="A3" s="42"/>
      <c r="B3" s="1113"/>
      <c r="D3" s="1114"/>
      <c r="E3" s="33"/>
      <c r="F3" s="163"/>
      <c r="G3" s="163"/>
      <c r="H3" s="75"/>
      <c r="I3" s="163"/>
      <c r="J3" s="163"/>
      <c r="K3" s="163"/>
      <c r="L3" s="416"/>
      <c r="M3" s="506"/>
      <c r="N3"/>
      <c r="O3"/>
    </row>
    <row r="4" spans="1:43" ht="30.75" customHeight="1" x14ac:dyDescent="0.2">
      <c r="A4" s="42"/>
      <c r="B4" s="1115"/>
      <c r="C4" s="33"/>
      <c r="D4" s="163"/>
      <c r="E4" s="33"/>
      <c r="F4" s="163"/>
      <c r="G4" s="163"/>
      <c r="H4" s="75" t="s">
        <v>312</v>
      </c>
      <c r="I4" s="163"/>
      <c r="J4" s="163"/>
      <c r="K4" s="163"/>
      <c r="L4" s="72">
        <v>2018</v>
      </c>
      <c r="M4" s="506"/>
      <c r="N4" s="71"/>
      <c r="O4"/>
    </row>
    <row r="5" spans="1:43" ht="18.7" customHeight="1" x14ac:dyDescent="0.2">
      <c r="A5" s="42"/>
      <c r="B5" s="197"/>
      <c r="C5" s="163"/>
      <c r="D5" s="163"/>
      <c r="E5" s="163"/>
      <c r="F5" s="1116"/>
      <c r="G5" s="337" t="s">
        <v>111</v>
      </c>
      <c r="H5" s="1116"/>
      <c r="I5" s="1116"/>
      <c r="J5" s="163"/>
      <c r="K5" s="425" t="s">
        <v>6</v>
      </c>
      <c r="L5" s="551">
        <f>Preise!M10</f>
        <v>19</v>
      </c>
      <c r="M5" s="506"/>
      <c r="N5"/>
      <c r="O5"/>
      <c r="S5" s="7"/>
      <c r="T5" s="7"/>
      <c r="U5" s="7"/>
      <c r="V5" s="43"/>
      <c r="W5" s="43"/>
      <c r="X5" s="43"/>
      <c r="Y5" s="43"/>
      <c r="Z5" s="43"/>
      <c r="AA5" s="43"/>
      <c r="AB5" s="43"/>
      <c r="AC5" s="43"/>
      <c r="AD5" s="43"/>
      <c r="AE5" s="43"/>
      <c r="AF5" s="43"/>
      <c r="AG5" s="43"/>
      <c r="AH5" s="43"/>
      <c r="AI5" s="43"/>
      <c r="AJ5" s="43"/>
      <c r="AK5" s="43"/>
      <c r="AL5" s="43"/>
      <c r="AM5" s="43"/>
      <c r="AN5" s="43"/>
      <c r="AO5" s="43"/>
      <c r="AP5" s="43"/>
      <c r="AQ5" s="43"/>
    </row>
    <row r="6" spans="1:43" ht="18.7" customHeight="1" x14ac:dyDescent="0.2">
      <c r="A6" s="42"/>
      <c r="B6" s="197"/>
      <c r="C6" s="163"/>
      <c r="D6" s="163"/>
      <c r="E6" s="163"/>
      <c r="F6" s="1116"/>
      <c r="G6" s="337"/>
      <c r="H6" s="1116"/>
      <c r="I6" s="1116"/>
      <c r="J6" s="34"/>
      <c r="K6" s="163"/>
      <c r="L6" s="163"/>
      <c r="M6" s="506"/>
      <c r="N6"/>
      <c r="O6" s="405"/>
      <c r="S6" s="7"/>
      <c r="T6" s="7"/>
      <c r="U6" s="7"/>
      <c r="V6" s="43"/>
      <c r="W6" s="43"/>
      <c r="X6" s="43"/>
      <c r="Y6" s="43"/>
      <c r="Z6" s="43"/>
      <c r="AA6" s="43"/>
      <c r="AB6" s="43"/>
      <c r="AC6" s="43"/>
      <c r="AD6" s="43"/>
      <c r="AE6" s="43"/>
      <c r="AF6" s="43"/>
      <c r="AG6" s="43"/>
      <c r="AH6" s="43"/>
      <c r="AI6" s="43"/>
      <c r="AJ6" s="43"/>
      <c r="AK6" s="43"/>
      <c r="AL6" s="43"/>
      <c r="AM6" s="43"/>
      <c r="AN6" s="43"/>
      <c r="AO6" s="43"/>
      <c r="AP6" s="43"/>
      <c r="AQ6" s="43"/>
    </row>
    <row r="7" spans="1:43" ht="20.25" customHeight="1" x14ac:dyDescent="0.2">
      <c r="A7" s="42"/>
      <c r="B7" s="1117"/>
      <c r="C7" s="1118" t="s">
        <v>364</v>
      </c>
      <c r="D7" s="247"/>
      <c r="E7" s="244"/>
      <c r="F7" s="245"/>
      <c r="G7" s="710"/>
      <c r="H7" s="247"/>
      <c r="I7" s="247"/>
      <c r="J7" s="711"/>
      <c r="K7" s="711"/>
      <c r="L7" s="1119" t="s">
        <v>235</v>
      </c>
      <c r="M7" s="1120"/>
      <c r="N7" s="712"/>
      <c r="O7" s="39"/>
      <c r="S7" s="7"/>
      <c r="T7" s="7"/>
      <c r="U7" s="7"/>
      <c r="V7" s="43"/>
      <c r="W7" s="43"/>
      <c r="X7" s="43"/>
      <c r="Y7" s="43"/>
      <c r="Z7" s="43"/>
      <c r="AA7" s="43"/>
      <c r="AB7" s="43"/>
      <c r="AC7" s="43"/>
      <c r="AD7" s="43"/>
      <c r="AE7" s="43"/>
      <c r="AF7" s="43"/>
      <c r="AG7" s="43"/>
      <c r="AH7" s="43"/>
      <c r="AI7" s="43"/>
      <c r="AJ7" s="43"/>
      <c r="AK7" s="43"/>
      <c r="AL7" s="43"/>
      <c r="AM7" s="43"/>
      <c r="AN7" s="43"/>
      <c r="AO7" s="43"/>
      <c r="AP7" s="43"/>
      <c r="AQ7" s="43"/>
    </row>
    <row r="8" spans="1:43" s="50" customFormat="1" ht="15.8" customHeight="1" x14ac:dyDescent="0.2">
      <c r="B8" s="725"/>
      <c r="C8" s="713"/>
      <c r="D8" s="714" t="s">
        <v>365</v>
      </c>
      <c r="E8" s="714"/>
      <c r="F8" s="340">
        <f>Preise!$M$34</f>
        <v>2.5</v>
      </c>
      <c r="G8" s="715"/>
      <c r="H8" s="716" t="s">
        <v>366</v>
      </c>
      <c r="I8" s="717"/>
      <c r="J8" s="486" t="s">
        <v>367</v>
      </c>
      <c r="K8" s="486" t="s">
        <v>64</v>
      </c>
      <c r="L8" s="718" t="s">
        <v>368</v>
      </c>
      <c r="M8" s="1121"/>
      <c r="N8" s="712"/>
      <c r="O8" s="39"/>
      <c r="P8"/>
      <c r="Q8" s="7"/>
      <c r="R8" s="7"/>
      <c r="S8" s="7"/>
      <c r="T8" s="7"/>
      <c r="U8" s="7"/>
    </row>
    <row r="9" spans="1:43" s="50" customFormat="1" ht="15.8" customHeight="1" x14ac:dyDescent="0.2">
      <c r="B9" s="725"/>
      <c r="C9" s="719"/>
      <c r="D9" s="720" t="s">
        <v>369</v>
      </c>
      <c r="E9" s="720"/>
      <c r="F9" s="817">
        <v>1</v>
      </c>
      <c r="G9" s="721"/>
      <c r="H9" s="722" t="s">
        <v>370</v>
      </c>
      <c r="I9" s="722" t="s">
        <v>371</v>
      </c>
      <c r="J9" s="487" t="s">
        <v>22</v>
      </c>
      <c r="K9" s="487" t="s">
        <v>372</v>
      </c>
      <c r="L9" s="723" t="s">
        <v>372</v>
      </c>
      <c r="M9" s="1121"/>
      <c r="N9" s="712"/>
      <c r="O9" s="39"/>
      <c r="P9"/>
      <c r="Q9" s="7"/>
      <c r="R9" s="7"/>
      <c r="S9" s="7"/>
      <c r="T9" s="7"/>
      <c r="U9" s="7"/>
    </row>
    <row r="10" spans="1:43" s="50" customFormat="1" ht="16.5" customHeight="1" x14ac:dyDescent="0.25">
      <c r="B10" s="725"/>
      <c r="C10" s="719"/>
      <c r="D10" s="1791" t="s">
        <v>373</v>
      </c>
      <c r="E10" s="721"/>
      <c r="F10" s="721"/>
      <c r="G10" s="721"/>
      <c r="H10" s="488" t="s">
        <v>374</v>
      </c>
      <c r="I10" s="488" t="s">
        <v>374</v>
      </c>
      <c r="J10" s="488" t="s">
        <v>58</v>
      </c>
      <c r="K10" s="488" t="s">
        <v>487</v>
      </c>
      <c r="L10" s="724" t="s">
        <v>374</v>
      </c>
      <c r="M10" s="1121"/>
      <c r="N10" s="712"/>
      <c r="O10" s="39"/>
      <c r="P10"/>
      <c r="Q10" s="7"/>
      <c r="R10" s="7"/>
      <c r="S10" s="7"/>
      <c r="T10" s="7"/>
      <c r="U10" s="7"/>
    </row>
    <row r="11" spans="1:43" s="50" customFormat="1" ht="14.95" customHeight="1" x14ac:dyDescent="0.2">
      <c r="B11" s="725"/>
      <c r="C11" s="725"/>
      <c r="D11" s="203" t="s">
        <v>33</v>
      </c>
      <c r="E11" s="247"/>
      <c r="F11" s="726"/>
      <c r="G11" s="726"/>
      <c r="H11" s="248">
        <v>34</v>
      </c>
      <c r="I11" s="552">
        <f>H11*(100+$L$5)/100</f>
        <v>40.46</v>
      </c>
      <c r="J11" s="732">
        <v>25</v>
      </c>
      <c r="K11" s="355">
        <f>IF(J11=0,0,100/J11+$F$8/2+$F$9)</f>
        <v>6.25</v>
      </c>
      <c r="L11" s="727">
        <f>I11*K11/100</f>
        <v>2.5287500000000001</v>
      </c>
      <c r="M11" s="1121"/>
      <c r="N11" s="246"/>
      <c r="O11" s="405" t="s">
        <v>1398</v>
      </c>
      <c r="P11"/>
      <c r="Q11" s="7"/>
      <c r="R11" s="7"/>
      <c r="S11" s="7"/>
      <c r="T11" s="7"/>
      <c r="U11" s="7"/>
    </row>
    <row r="12" spans="1:43" s="50" customFormat="1" ht="14.95" customHeight="1" x14ac:dyDescent="0.2">
      <c r="B12" s="725"/>
      <c r="C12" s="640"/>
      <c r="D12" s="95"/>
      <c r="E12" s="641"/>
      <c r="F12" s="641"/>
      <c r="G12" s="641"/>
      <c r="H12" s="481"/>
      <c r="I12" s="812">
        <f>H12*(100+$L$5)/100</f>
        <v>0</v>
      </c>
      <c r="J12" s="481"/>
      <c r="K12" s="813">
        <f>IF(J12=0,0,100/J12+$F$8/2+$F$9)</f>
        <v>0</v>
      </c>
      <c r="L12" s="814">
        <f>I12*K12/100</f>
        <v>0</v>
      </c>
      <c r="M12" s="1121"/>
      <c r="N12" s="712"/>
      <c r="O12" s="39"/>
      <c r="P12"/>
      <c r="Q12" s="7"/>
      <c r="R12" s="7"/>
      <c r="S12" s="7"/>
      <c r="T12" s="7"/>
      <c r="U12" s="7"/>
    </row>
    <row r="13" spans="1:43" s="457" customFormat="1" ht="16.5" customHeight="1" x14ac:dyDescent="0.2">
      <c r="B13" s="912"/>
      <c r="C13" s="458"/>
      <c r="D13" s="459" t="s">
        <v>35</v>
      </c>
      <c r="E13" s="190"/>
      <c r="F13" s="190"/>
      <c r="G13" s="190"/>
      <c r="H13" s="249"/>
      <c r="I13" s="249"/>
      <c r="J13" s="460"/>
      <c r="K13" s="335"/>
      <c r="L13" s="697">
        <f>SUM(L11:L12)</f>
        <v>2.5287500000000001</v>
      </c>
      <c r="M13" s="1122"/>
      <c r="N13" s="728"/>
      <c r="O13" s="462"/>
      <c r="P13" s="461"/>
      <c r="Q13" s="449"/>
      <c r="R13" s="449"/>
      <c r="S13" s="449"/>
      <c r="T13" s="449"/>
      <c r="U13" s="449"/>
    </row>
    <row r="14" spans="1:43" ht="11.25" customHeight="1" x14ac:dyDescent="0.2">
      <c r="A14" s="42"/>
      <c r="B14" s="1123"/>
      <c r="C14" s="1124"/>
      <c r="D14" s="163"/>
      <c r="E14" s="33"/>
      <c r="F14" s="1074"/>
      <c r="G14" s="35"/>
      <c r="H14" s="163"/>
      <c r="I14" s="163"/>
      <c r="J14" s="34"/>
      <c r="K14" s="34"/>
      <c r="L14" s="163"/>
      <c r="M14" s="1125"/>
      <c r="N14" s="39"/>
      <c r="O14" s="39"/>
      <c r="S14" s="7"/>
      <c r="T14" s="7"/>
      <c r="U14" s="7"/>
      <c r="V14" s="43"/>
      <c r="W14" s="43"/>
      <c r="X14" s="43"/>
      <c r="Y14" s="43"/>
      <c r="Z14" s="43"/>
      <c r="AA14" s="43"/>
      <c r="AB14" s="43"/>
      <c r="AC14" s="43"/>
      <c r="AD14" s="43"/>
      <c r="AE14" s="43"/>
      <c r="AF14" s="43"/>
      <c r="AG14" s="43"/>
      <c r="AH14" s="43"/>
      <c r="AI14" s="43"/>
      <c r="AJ14" s="43"/>
      <c r="AK14" s="43"/>
      <c r="AL14" s="43"/>
      <c r="AM14" s="43"/>
      <c r="AN14" s="43"/>
      <c r="AO14" s="43"/>
      <c r="AP14" s="43"/>
      <c r="AQ14" s="43"/>
    </row>
    <row r="15" spans="1:43" ht="20.25" customHeight="1" x14ac:dyDescent="0.2">
      <c r="A15" s="42"/>
      <c r="B15" s="1123"/>
      <c r="C15" s="1126" t="s">
        <v>364</v>
      </c>
      <c r="D15" s="163"/>
      <c r="E15" s="33"/>
      <c r="F15" s="1074"/>
      <c r="G15" s="35"/>
      <c r="H15" s="163"/>
      <c r="I15" s="163"/>
      <c r="J15" s="34"/>
      <c r="K15" s="34"/>
      <c r="L15" s="743" t="s">
        <v>252</v>
      </c>
      <c r="M15" s="1125"/>
      <c r="N15" s="39"/>
      <c r="O15" s="39"/>
      <c r="S15" s="7"/>
      <c r="T15" s="7"/>
      <c r="U15" s="7"/>
      <c r="V15" s="43"/>
      <c r="W15" s="43"/>
      <c r="X15" s="43"/>
      <c r="Y15" s="43"/>
      <c r="Z15" s="43"/>
      <c r="AA15" s="43"/>
      <c r="AB15" s="43"/>
      <c r="AC15" s="43"/>
      <c r="AD15" s="43"/>
      <c r="AE15" s="43"/>
      <c r="AF15" s="43"/>
      <c r="AG15" s="43"/>
      <c r="AH15" s="43"/>
      <c r="AI15" s="43"/>
      <c r="AJ15" s="43"/>
      <c r="AK15" s="43"/>
      <c r="AL15" s="43"/>
      <c r="AM15" s="43"/>
      <c r="AN15" s="43"/>
      <c r="AO15" s="43"/>
      <c r="AP15" s="43"/>
      <c r="AQ15" s="43"/>
    </row>
    <row r="16" spans="1:43" s="50" customFormat="1" ht="15.8" customHeight="1" x14ac:dyDescent="0.2">
      <c r="B16" s="51"/>
      <c r="C16" s="338"/>
      <c r="D16" s="339" t="s">
        <v>365</v>
      </c>
      <c r="E16" s="339"/>
      <c r="F16" s="340">
        <f>Preise!$M$34</f>
        <v>2.5</v>
      </c>
      <c r="G16" s="346"/>
      <c r="H16" s="351" t="s">
        <v>366</v>
      </c>
      <c r="I16" s="352"/>
      <c r="J16" s="342" t="s">
        <v>36</v>
      </c>
      <c r="K16" s="342" t="s">
        <v>64</v>
      </c>
      <c r="L16" s="343" t="s">
        <v>368</v>
      </c>
      <c r="M16" s="506"/>
      <c r="N16" s="39"/>
      <c r="O16" s="39"/>
      <c r="P16"/>
      <c r="Q16" s="7"/>
      <c r="R16" s="7"/>
      <c r="S16" s="7"/>
      <c r="T16" s="7"/>
      <c r="U16" s="7"/>
    </row>
    <row r="17" spans="1:43" s="50" customFormat="1" ht="15.8" customHeight="1" x14ac:dyDescent="0.2">
      <c r="B17" s="51"/>
      <c r="C17" s="76"/>
      <c r="D17" s="83" t="s">
        <v>369</v>
      </c>
      <c r="E17" s="83"/>
      <c r="F17" s="87">
        <v>1</v>
      </c>
      <c r="G17" s="293"/>
      <c r="H17" s="484" t="s">
        <v>370</v>
      </c>
      <c r="I17" s="484" t="s">
        <v>371</v>
      </c>
      <c r="J17" s="336" t="s">
        <v>22</v>
      </c>
      <c r="K17" s="336" t="s">
        <v>372</v>
      </c>
      <c r="L17" s="344" t="s">
        <v>372</v>
      </c>
      <c r="M17" s="506"/>
      <c r="N17" s="39"/>
      <c r="O17" s="39"/>
      <c r="P17"/>
      <c r="Q17" s="7"/>
      <c r="R17" s="7"/>
      <c r="S17" s="7"/>
      <c r="T17" s="7"/>
      <c r="U17" s="7"/>
    </row>
    <row r="18" spans="1:43" s="50" customFormat="1" ht="16.5" customHeight="1" x14ac:dyDescent="0.2">
      <c r="B18" s="51"/>
      <c r="C18" s="76"/>
      <c r="D18" s="82" t="s">
        <v>373</v>
      </c>
      <c r="E18" s="293"/>
      <c r="F18" s="293"/>
      <c r="G18" s="293"/>
      <c r="H18" s="85" t="s">
        <v>374</v>
      </c>
      <c r="I18" s="85" t="s">
        <v>37</v>
      </c>
      <c r="J18" s="85" t="s">
        <v>58</v>
      </c>
      <c r="K18" s="85" t="s">
        <v>487</v>
      </c>
      <c r="L18" s="345" t="s">
        <v>374</v>
      </c>
      <c r="M18" s="506"/>
      <c r="N18" s="39"/>
      <c r="O18" s="39"/>
      <c r="P18"/>
      <c r="Q18" s="7"/>
      <c r="R18" s="7"/>
      <c r="S18" s="7"/>
      <c r="T18" s="7"/>
      <c r="U18" s="7"/>
    </row>
    <row r="19" spans="1:43" s="50" customFormat="1" ht="14.95" customHeight="1" x14ac:dyDescent="0.2">
      <c r="B19" s="51"/>
      <c r="C19" s="51"/>
      <c r="D19" s="203" t="s">
        <v>38</v>
      </c>
      <c r="E19" s="163"/>
      <c r="F19" s="49"/>
      <c r="G19" s="49"/>
      <c r="H19" s="353">
        <v>32</v>
      </c>
      <c r="I19" s="1878">
        <f>H19*(100+$L$5)/100</f>
        <v>38.08</v>
      </c>
      <c r="J19" s="248">
        <v>25</v>
      </c>
      <c r="K19" s="355">
        <f>IF(J19=0,0,100/J19+$F$16/2+$F$17)</f>
        <v>6.25</v>
      </c>
      <c r="L19" s="698">
        <f>I19*K19/100</f>
        <v>2.38</v>
      </c>
      <c r="M19" s="506"/>
      <c r="N19" s="39"/>
      <c r="O19" s="696"/>
      <c r="P19"/>
      <c r="Q19" s="7"/>
      <c r="R19" s="7"/>
      <c r="S19" s="7"/>
      <c r="T19" s="7"/>
      <c r="U19" s="7"/>
    </row>
    <row r="20" spans="1:43" s="50" customFormat="1" ht="14.95" customHeight="1" x14ac:dyDescent="0.2">
      <c r="B20" s="51"/>
      <c r="C20" s="51"/>
      <c r="D20" s="203" t="s">
        <v>39</v>
      </c>
      <c r="E20" s="49"/>
      <c r="F20" s="49"/>
      <c r="G20" s="49"/>
      <c r="H20" s="353">
        <v>7</v>
      </c>
      <c r="I20" s="552">
        <f>H20*(100+$L$5)/100</f>
        <v>8.33</v>
      </c>
      <c r="J20" s="248">
        <v>20</v>
      </c>
      <c r="K20" s="355">
        <f>IF(J20=0,0,100/J20+$F$16/2+$F$17)</f>
        <v>7.25</v>
      </c>
      <c r="L20" s="698">
        <f>I20*K20/100</f>
        <v>0.60392499999999993</v>
      </c>
      <c r="M20" s="506"/>
      <c r="N20" s="39"/>
      <c r="O20" s="39"/>
      <c r="P20"/>
      <c r="Q20" s="7"/>
      <c r="R20" s="7"/>
      <c r="S20" s="7"/>
      <c r="T20" s="7"/>
      <c r="U20" s="7"/>
    </row>
    <row r="21" spans="1:43" s="50" customFormat="1" ht="14.95" customHeight="1" x14ac:dyDescent="0.2">
      <c r="B21" s="51"/>
      <c r="C21" s="76"/>
      <c r="D21" s="347"/>
      <c r="E21" s="348"/>
      <c r="F21" s="348"/>
      <c r="G21" s="348"/>
      <c r="H21" s="354"/>
      <c r="I21" s="553">
        <f>H21*(100+$L$5)/100</f>
        <v>0</v>
      </c>
      <c r="J21" s="349"/>
      <c r="K21" s="356">
        <f>IF(J21=0,0,100/J21+$F$16/2+$F$17)</f>
        <v>0</v>
      </c>
      <c r="L21" s="350">
        <f>I21*K21/100</f>
        <v>0</v>
      </c>
      <c r="M21" s="506"/>
      <c r="N21" s="39"/>
      <c r="O21" s="39"/>
      <c r="P21"/>
      <c r="Q21" s="7"/>
      <c r="R21" s="7"/>
      <c r="S21" s="7"/>
      <c r="T21" s="7"/>
      <c r="U21" s="7"/>
    </row>
    <row r="22" spans="1:43" s="457" customFormat="1" ht="16.5" customHeight="1" x14ac:dyDescent="0.2">
      <c r="B22" s="912"/>
      <c r="C22" s="458"/>
      <c r="D22" s="459" t="s">
        <v>35</v>
      </c>
      <c r="E22" s="190"/>
      <c r="F22" s="190"/>
      <c r="G22" s="190"/>
      <c r="H22" s="249"/>
      <c r="I22" s="249"/>
      <c r="J22" s="460"/>
      <c r="K22" s="335"/>
      <c r="L22" s="697">
        <f>SUM(L19:L21)</f>
        <v>2.9839249999999997</v>
      </c>
      <c r="M22" s="1122"/>
      <c r="N22" s="462"/>
      <c r="O22" s="462"/>
      <c r="P22" s="461"/>
      <c r="Q22" s="449"/>
      <c r="R22" s="449"/>
      <c r="S22" s="449"/>
      <c r="T22" s="449"/>
      <c r="U22" s="449"/>
    </row>
    <row r="23" spans="1:43" ht="11.25" customHeight="1" x14ac:dyDescent="0.2">
      <c r="A23" s="42"/>
      <c r="B23" s="1123"/>
      <c r="C23" s="1124"/>
      <c r="D23" s="163"/>
      <c r="E23" s="33"/>
      <c r="F23" s="1074"/>
      <c r="G23" s="35"/>
      <c r="H23" s="163"/>
      <c r="I23" s="163"/>
      <c r="J23" s="34"/>
      <c r="K23" s="34"/>
      <c r="L23" s="163"/>
      <c r="M23" s="1125"/>
      <c r="N23" s="39"/>
      <c r="O23" s="39"/>
      <c r="S23" s="7"/>
      <c r="T23" s="7"/>
      <c r="U23" s="7"/>
      <c r="V23" s="43"/>
      <c r="W23" s="43"/>
      <c r="X23" s="43"/>
      <c r="Y23" s="43"/>
      <c r="Z23" s="43"/>
      <c r="AA23" s="43"/>
      <c r="AB23" s="43"/>
      <c r="AC23" s="43"/>
      <c r="AD23" s="43"/>
      <c r="AE23" s="43"/>
      <c r="AF23" s="43"/>
      <c r="AG23" s="43"/>
      <c r="AH23" s="43"/>
      <c r="AI23" s="43"/>
      <c r="AJ23" s="43"/>
      <c r="AK23" s="43"/>
      <c r="AL23" s="43"/>
      <c r="AM23" s="43"/>
      <c r="AN23" s="43"/>
      <c r="AO23" s="43"/>
      <c r="AP23" s="43"/>
      <c r="AQ23" s="43"/>
    </row>
    <row r="24" spans="1:43" ht="18.350000000000001" x14ac:dyDescent="0.2">
      <c r="A24" s="42"/>
      <c r="B24" s="1123"/>
      <c r="C24" s="2152" t="s">
        <v>1098</v>
      </c>
      <c r="D24" s="163"/>
      <c r="E24" s="33"/>
      <c r="F24" s="1074"/>
      <c r="G24" s="35"/>
      <c r="H24" s="163"/>
      <c r="I24" s="163"/>
      <c r="J24" s="34"/>
      <c r="K24" s="34"/>
      <c r="L24" s="1077" t="s">
        <v>1049</v>
      </c>
      <c r="M24" s="1125"/>
      <c r="N24" s="39"/>
      <c r="O24" s="39"/>
      <c r="S24" s="7"/>
      <c r="T24" s="7"/>
      <c r="U24" s="7"/>
      <c r="V24" s="43"/>
      <c r="W24" s="43"/>
      <c r="X24" s="43"/>
      <c r="Y24" s="43"/>
      <c r="Z24" s="43"/>
      <c r="AA24" s="43"/>
      <c r="AB24" s="43"/>
      <c r="AC24" s="43"/>
      <c r="AD24" s="43"/>
      <c r="AE24" s="43"/>
      <c r="AF24" s="43"/>
      <c r="AG24" s="43"/>
      <c r="AH24" s="43"/>
      <c r="AI24" s="43"/>
      <c r="AJ24" s="43"/>
      <c r="AK24" s="43"/>
      <c r="AL24" s="43"/>
      <c r="AM24" s="43"/>
      <c r="AN24" s="43"/>
      <c r="AO24" s="43"/>
      <c r="AP24" s="43"/>
      <c r="AQ24" s="43"/>
    </row>
    <row r="25" spans="1:43" ht="18.350000000000001" x14ac:dyDescent="0.2">
      <c r="A25" s="42"/>
      <c r="B25" s="1123"/>
      <c r="C25" s="338"/>
      <c r="D25" s="339" t="s">
        <v>365</v>
      </c>
      <c r="E25" s="339"/>
      <c r="F25" s="340">
        <f>Preise!$M$34</f>
        <v>2.5</v>
      </c>
      <c r="G25" s="346"/>
      <c r="H25" s="351" t="s">
        <v>366</v>
      </c>
      <c r="I25" s="352"/>
      <c r="J25" s="342" t="s">
        <v>36</v>
      </c>
      <c r="K25" s="342" t="s">
        <v>64</v>
      </c>
      <c r="L25" s="343" t="s">
        <v>368</v>
      </c>
      <c r="M25" s="1125"/>
      <c r="N25" s="39"/>
      <c r="O25" s="39"/>
      <c r="S25" s="7"/>
      <c r="T25" s="7"/>
      <c r="U25" s="7"/>
      <c r="V25" s="43"/>
      <c r="W25" s="43"/>
      <c r="X25" s="43"/>
      <c r="Y25" s="43"/>
      <c r="Z25" s="43"/>
      <c r="AA25" s="43"/>
      <c r="AB25" s="43"/>
      <c r="AC25" s="43"/>
      <c r="AD25" s="43"/>
      <c r="AE25" s="43"/>
      <c r="AF25" s="43"/>
      <c r="AG25" s="43"/>
      <c r="AH25" s="43"/>
      <c r="AI25" s="43"/>
      <c r="AJ25" s="43"/>
      <c r="AK25" s="43"/>
      <c r="AL25" s="43"/>
      <c r="AM25" s="43"/>
      <c r="AN25" s="43"/>
      <c r="AO25" s="43"/>
      <c r="AP25" s="43"/>
      <c r="AQ25" s="43"/>
    </row>
    <row r="26" spans="1:43" ht="18.350000000000001" x14ac:dyDescent="0.2">
      <c r="A26" s="42"/>
      <c r="B26" s="1123"/>
      <c r="C26" s="76"/>
      <c r="D26" s="83" t="s">
        <v>369</v>
      </c>
      <c r="E26" s="83"/>
      <c r="F26" s="87">
        <v>1</v>
      </c>
      <c r="G26" s="293"/>
      <c r="H26" s="484" t="s">
        <v>370</v>
      </c>
      <c r="I26" s="484" t="s">
        <v>371</v>
      </c>
      <c r="J26" s="336" t="s">
        <v>22</v>
      </c>
      <c r="K26" s="336" t="s">
        <v>372</v>
      </c>
      <c r="L26" s="344" t="s">
        <v>372</v>
      </c>
      <c r="M26" s="1125"/>
      <c r="N26" s="39"/>
      <c r="O26" s="39"/>
      <c r="S26" s="7"/>
      <c r="T26" s="7"/>
      <c r="U26" s="7"/>
      <c r="V26" s="43"/>
      <c r="W26" s="43"/>
      <c r="X26" s="43"/>
      <c r="Y26" s="43"/>
      <c r="Z26" s="43"/>
      <c r="AA26" s="43"/>
      <c r="AB26" s="43"/>
      <c r="AC26" s="43"/>
      <c r="AD26" s="43"/>
      <c r="AE26" s="43"/>
      <c r="AF26" s="43"/>
      <c r="AG26" s="43"/>
      <c r="AH26" s="43"/>
      <c r="AI26" s="43"/>
      <c r="AJ26" s="43"/>
      <c r="AK26" s="43"/>
      <c r="AL26" s="43"/>
      <c r="AM26" s="43"/>
      <c r="AN26" s="43"/>
      <c r="AO26" s="43"/>
      <c r="AP26" s="43"/>
      <c r="AQ26" s="43"/>
    </row>
    <row r="27" spans="1:43" ht="18.350000000000001" x14ac:dyDescent="0.2">
      <c r="A27" s="42"/>
      <c r="B27" s="1123"/>
      <c r="C27" s="76"/>
      <c r="D27" s="82" t="s">
        <v>373</v>
      </c>
      <c r="E27" s="293"/>
      <c r="F27" s="293"/>
      <c r="G27" s="293"/>
      <c r="H27" s="85" t="s">
        <v>374</v>
      </c>
      <c r="I27" s="85" t="s">
        <v>37</v>
      </c>
      <c r="J27" s="85" t="s">
        <v>58</v>
      </c>
      <c r="K27" s="85" t="s">
        <v>487</v>
      </c>
      <c r="L27" s="345" t="s">
        <v>374</v>
      </c>
      <c r="M27" s="1125"/>
      <c r="N27" s="39"/>
      <c r="O27" s="39"/>
      <c r="S27" s="7"/>
      <c r="T27" s="7"/>
      <c r="U27" s="7"/>
      <c r="V27" s="43"/>
      <c r="W27" s="43"/>
      <c r="X27" s="43"/>
      <c r="Y27" s="43"/>
      <c r="Z27" s="43"/>
      <c r="AA27" s="43"/>
      <c r="AB27" s="43"/>
      <c r="AC27" s="43"/>
      <c r="AD27" s="43"/>
      <c r="AE27" s="43"/>
      <c r="AF27" s="43"/>
      <c r="AG27" s="43"/>
      <c r="AH27" s="43"/>
      <c r="AI27" s="43"/>
      <c r="AJ27" s="43"/>
      <c r="AK27" s="43"/>
      <c r="AL27" s="43"/>
      <c r="AM27" s="43"/>
      <c r="AN27" s="43"/>
      <c r="AO27" s="43"/>
      <c r="AP27" s="43"/>
      <c r="AQ27" s="43"/>
    </row>
    <row r="28" spans="1:43" ht="18.350000000000001" x14ac:dyDescent="0.2">
      <c r="A28" s="42"/>
      <c r="B28" s="1123"/>
      <c r="C28" s="51"/>
      <c r="D28" s="203" t="s">
        <v>38</v>
      </c>
      <c r="E28" s="163"/>
      <c r="F28" s="49"/>
      <c r="G28" s="49"/>
      <c r="H28" s="353">
        <v>32</v>
      </c>
      <c r="I28" s="1878">
        <f>H28*(100+$L$5)/100</f>
        <v>38.08</v>
      </c>
      <c r="J28" s="248">
        <v>25</v>
      </c>
      <c r="K28" s="355">
        <f>IF(J28=0,0,100/J28+$F$16/2+$F$17)</f>
        <v>6.25</v>
      </c>
      <c r="L28" s="698">
        <f>I28*K28/100</f>
        <v>2.38</v>
      </c>
      <c r="M28" s="1125"/>
      <c r="N28" s="39"/>
      <c r="O28" s="39"/>
      <c r="S28" s="7"/>
      <c r="T28" s="7"/>
      <c r="U28" s="7"/>
      <c r="V28" s="43"/>
      <c r="W28" s="43"/>
      <c r="X28" s="43"/>
      <c r="Y28" s="43"/>
      <c r="Z28" s="43"/>
      <c r="AA28" s="43"/>
      <c r="AB28" s="43"/>
      <c r="AC28" s="43"/>
      <c r="AD28" s="43"/>
      <c r="AE28" s="43"/>
      <c r="AF28" s="43"/>
      <c r="AG28" s="43"/>
      <c r="AH28" s="43"/>
      <c r="AI28" s="43"/>
      <c r="AJ28" s="43"/>
      <c r="AK28" s="43"/>
      <c r="AL28" s="43"/>
      <c r="AM28" s="43"/>
      <c r="AN28" s="43"/>
      <c r="AO28" s="43"/>
      <c r="AP28" s="43"/>
      <c r="AQ28" s="43"/>
    </row>
    <row r="29" spans="1:43" ht="18.350000000000001" x14ac:dyDescent="0.2">
      <c r="A29" s="42"/>
      <c r="B29" s="1123"/>
      <c r="C29" s="51"/>
      <c r="D29" s="203" t="s">
        <v>39</v>
      </c>
      <c r="E29" s="49"/>
      <c r="F29" s="49"/>
      <c r="G29" s="49"/>
      <c r="H29" s="353">
        <v>7</v>
      </c>
      <c r="I29" s="552">
        <f>H29*(100+$L$5)/100</f>
        <v>8.33</v>
      </c>
      <c r="J29" s="248">
        <v>20</v>
      </c>
      <c r="K29" s="355">
        <f>IF(J29=0,0,100/J29+$F$16/2+$F$17)</f>
        <v>7.25</v>
      </c>
      <c r="L29" s="698">
        <f>I29*K29/100</f>
        <v>0.60392499999999993</v>
      </c>
      <c r="M29" s="1125"/>
      <c r="N29" s="39"/>
      <c r="O29" s="39"/>
      <c r="S29" s="7"/>
      <c r="T29" s="7"/>
      <c r="U29" s="7"/>
      <c r="V29" s="43"/>
      <c r="W29" s="43"/>
      <c r="X29" s="43"/>
      <c r="Y29" s="43"/>
      <c r="Z29" s="43"/>
      <c r="AA29" s="43"/>
      <c r="AB29" s="43"/>
      <c r="AC29" s="43"/>
      <c r="AD29" s="43"/>
      <c r="AE29" s="43"/>
      <c r="AF29" s="43"/>
      <c r="AG29" s="43"/>
      <c r="AH29" s="43"/>
      <c r="AI29" s="43"/>
      <c r="AJ29" s="43"/>
      <c r="AK29" s="43"/>
      <c r="AL29" s="43"/>
      <c r="AM29" s="43"/>
      <c r="AN29" s="43"/>
      <c r="AO29" s="43"/>
      <c r="AP29" s="43"/>
      <c r="AQ29" s="43"/>
    </row>
    <row r="30" spans="1:43" ht="18.350000000000001" x14ac:dyDescent="0.2">
      <c r="A30" s="42"/>
      <c r="B30" s="1123"/>
      <c r="C30" s="51"/>
      <c r="D30" s="203"/>
      <c r="E30" s="49"/>
      <c r="F30" s="49"/>
      <c r="G30" s="49"/>
      <c r="H30" s="353"/>
      <c r="I30" s="552"/>
      <c r="J30" s="248"/>
      <c r="K30" s="355"/>
      <c r="L30" s="698"/>
      <c r="M30" s="1125"/>
      <c r="N30" s="39"/>
      <c r="O30" s="39"/>
      <c r="S30" s="7"/>
      <c r="T30" s="7"/>
      <c r="U30" s="7"/>
      <c r="V30" s="43"/>
      <c r="W30" s="43"/>
      <c r="X30" s="43"/>
      <c r="Y30" s="43"/>
      <c r="Z30" s="43"/>
      <c r="AA30" s="43"/>
      <c r="AB30" s="43"/>
      <c r="AC30" s="43"/>
      <c r="AD30" s="43"/>
      <c r="AE30" s="43"/>
      <c r="AF30" s="43"/>
      <c r="AG30" s="43"/>
      <c r="AH30" s="43"/>
      <c r="AI30" s="43"/>
      <c r="AJ30" s="43"/>
      <c r="AK30" s="43"/>
      <c r="AL30" s="43"/>
      <c r="AM30" s="43"/>
      <c r="AN30" s="43"/>
      <c r="AO30" s="43"/>
      <c r="AP30" s="43"/>
      <c r="AQ30" s="43"/>
    </row>
    <row r="31" spans="1:43" ht="18.350000000000001" x14ac:dyDescent="0.2">
      <c r="A31" s="42"/>
      <c r="B31" s="1123"/>
      <c r="C31" s="357"/>
      <c r="D31" s="2748" t="s">
        <v>1033</v>
      </c>
      <c r="E31" s="2747" t="s">
        <v>1035</v>
      </c>
      <c r="F31" s="2248"/>
      <c r="G31" s="2758">
        <v>30000</v>
      </c>
      <c r="H31" s="2778"/>
      <c r="I31" s="341"/>
      <c r="J31" s="341"/>
      <c r="K31" s="341"/>
      <c r="L31" s="1112"/>
      <c r="M31" s="1125"/>
      <c r="N31" s="39"/>
      <c r="O31" s="3341"/>
      <c r="P31" s="3341"/>
      <c r="Q31" s="3341"/>
      <c r="S31" s="7"/>
      <c r="T31" s="7"/>
      <c r="U31" s="7"/>
      <c r="V31" s="43"/>
      <c r="W31" s="43"/>
      <c r="X31" s="43"/>
      <c r="Y31" s="43"/>
      <c r="Z31" s="43"/>
      <c r="AA31" s="43"/>
      <c r="AB31" s="43"/>
      <c r="AC31" s="43"/>
      <c r="AD31" s="43"/>
      <c r="AE31" s="43"/>
      <c r="AF31" s="43"/>
      <c r="AG31" s="43"/>
      <c r="AH31" s="43"/>
      <c r="AI31" s="43"/>
      <c r="AJ31" s="43"/>
      <c r="AK31" s="43"/>
      <c r="AL31" s="43"/>
      <c r="AM31" s="43"/>
      <c r="AN31" s="43"/>
      <c r="AO31" s="43"/>
      <c r="AP31" s="43"/>
      <c r="AQ31" s="43"/>
    </row>
    <row r="32" spans="1:43" ht="18.350000000000001" x14ac:dyDescent="0.2">
      <c r="A32" s="42"/>
      <c r="B32" s="1123"/>
      <c r="C32" s="76"/>
      <c r="D32" s="2744" t="s">
        <v>1034</v>
      </c>
      <c r="E32" s="2749" t="s">
        <v>1036</v>
      </c>
      <c r="F32" s="2750"/>
      <c r="G32" s="354">
        <v>600</v>
      </c>
      <c r="H32" s="354">
        <f>IF($G32=0,0,G31/G32)</f>
        <v>50</v>
      </c>
      <c r="I32" s="553">
        <f>H32*(100+$L$5)/100</f>
        <v>59.5</v>
      </c>
      <c r="J32" s="349">
        <v>20</v>
      </c>
      <c r="K32" s="356">
        <f>IF(J32=0,0,100/J32+$F$16/2+$F$17)</f>
        <v>7.25</v>
      </c>
      <c r="L32" s="350">
        <f>I32*K32/100</f>
        <v>4.3137499999999998</v>
      </c>
      <c r="M32" s="1125"/>
      <c r="N32" s="39"/>
      <c r="O32" s="3341"/>
      <c r="P32" s="3341"/>
      <c r="Q32" s="3341"/>
      <c r="S32" s="7"/>
      <c r="T32" s="7"/>
      <c r="U32" s="7"/>
      <c r="V32" s="43"/>
      <c r="W32" s="43"/>
      <c r="X32" s="43"/>
      <c r="Y32" s="43"/>
      <c r="Z32" s="43"/>
      <c r="AA32" s="43"/>
      <c r="AB32" s="43"/>
      <c r="AC32" s="43"/>
      <c r="AD32" s="43"/>
      <c r="AE32" s="43"/>
      <c r="AF32" s="43"/>
      <c r="AG32" s="43"/>
      <c r="AH32" s="43"/>
      <c r="AI32" s="43"/>
      <c r="AJ32" s="43"/>
      <c r="AK32" s="43"/>
      <c r="AL32" s="43"/>
      <c r="AM32" s="43"/>
      <c r="AN32" s="43"/>
      <c r="AO32" s="43"/>
      <c r="AP32" s="43"/>
      <c r="AQ32" s="43"/>
    </row>
    <row r="33" spans="1:43" ht="18.350000000000001" x14ac:dyDescent="0.2">
      <c r="A33" s="42"/>
      <c r="B33" s="1123"/>
      <c r="C33" s="458"/>
      <c r="D33" s="459" t="s">
        <v>35</v>
      </c>
      <c r="E33" s="190"/>
      <c r="F33" s="190"/>
      <c r="G33" s="190"/>
      <c r="H33" s="249"/>
      <c r="I33" s="249"/>
      <c r="J33" s="460"/>
      <c r="K33" s="335"/>
      <c r="L33" s="697">
        <f>SUM(L28:L32)</f>
        <v>7.2976749999999999</v>
      </c>
      <c r="M33" s="1125"/>
      <c r="N33" s="39"/>
      <c r="O33" s="3341"/>
      <c r="P33" s="3341"/>
      <c r="Q33" s="3341"/>
      <c r="S33" s="7"/>
      <c r="T33" s="7"/>
      <c r="U33" s="7"/>
      <c r="V33" s="43"/>
      <c r="W33" s="43"/>
      <c r="X33" s="43"/>
      <c r="Y33" s="43"/>
      <c r="Z33" s="43"/>
      <c r="AA33" s="43"/>
      <c r="AB33" s="43"/>
      <c r="AC33" s="43"/>
      <c r="AD33" s="43"/>
      <c r="AE33" s="43"/>
      <c r="AF33" s="43"/>
      <c r="AG33" s="43"/>
      <c r="AH33" s="43"/>
      <c r="AI33" s="43"/>
      <c r="AJ33" s="43"/>
      <c r="AK33" s="43"/>
      <c r="AL33" s="43"/>
      <c r="AM33" s="43"/>
      <c r="AN33" s="43"/>
      <c r="AO33" s="43"/>
      <c r="AP33" s="43"/>
      <c r="AQ33" s="43"/>
    </row>
    <row r="34" spans="1:43" ht="11.25" customHeight="1" x14ac:dyDescent="0.2">
      <c r="A34" s="42"/>
      <c r="B34" s="1123"/>
      <c r="C34" s="1124"/>
      <c r="D34" s="163"/>
      <c r="E34" s="33"/>
      <c r="F34" s="1074"/>
      <c r="G34" s="35"/>
      <c r="H34" s="163"/>
      <c r="I34" s="163"/>
      <c r="J34" s="34"/>
      <c r="K34" s="34"/>
      <c r="L34" s="163"/>
      <c r="M34" s="1125"/>
      <c r="N34" s="39"/>
      <c r="O34" s="39"/>
      <c r="S34" s="7"/>
      <c r="T34" s="7"/>
      <c r="U34" s="7"/>
      <c r="V34" s="43"/>
      <c r="W34" s="43"/>
      <c r="X34" s="43"/>
      <c r="Y34" s="43"/>
      <c r="Z34" s="43"/>
      <c r="AA34" s="43"/>
      <c r="AB34" s="43"/>
      <c r="AC34" s="43"/>
      <c r="AD34" s="43"/>
      <c r="AE34" s="43"/>
      <c r="AF34" s="43"/>
      <c r="AG34" s="43"/>
      <c r="AH34" s="43"/>
      <c r="AI34" s="43"/>
      <c r="AJ34" s="43"/>
      <c r="AK34" s="43"/>
      <c r="AL34" s="43"/>
      <c r="AM34" s="43"/>
      <c r="AN34" s="43"/>
      <c r="AO34" s="43"/>
      <c r="AP34" s="43"/>
      <c r="AQ34" s="43"/>
    </row>
    <row r="35" spans="1:43" ht="21.25" customHeight="1" x14ac:dyDescent="0.2">
      <c r="A35" s="42"/>
      <c r="B35" s="1123"/>
      <c r="C35" s="1126" t="s">
        <v>364</v>
      </c>
      <c r="D35" s="163"/>
      <c r="E35" s="33"/>
      <c r="F35" s="1074"/>
      <c r="G35" s="35"/>
      <c r="H35" s="163"/>
      <c r="I35" s="163"/>
      <c r="J35" s="34"/>
      <c r="K35" s="34"/>
      <c r="L35" s="743" t="s">
        <v>40</v>
      </c>
      <c r="M35" s="1125"/>
      <c r="N35" s="39"/>
      <c r="O35" s="39"/>
      <c r="S35" s="7"/>
      <c r="T35" s="7"/>
      <c r="U35" s="7"/>
      <c r="V35" s="43"/>
      <c r="W35" s="43"/>
      <c r="X35" s="43"/>
      <c r="Y35" s="43"/>
      <c r="Z35" s="43"/>
      <c r="AA35" s="43"/>
      <c r="AB35" s="43"/>
      <c r="AC35" s="43"/>
      <c r="AD35" s="43"/>
      <c r="AE35" s="43"/>
      <c r="AF35" s="43"/>
      <c r="AG35" s="43"/>
      <c r="AH35" s="43"/>
      <c r="AI35" s="43"/>
      <c r="AJ35" s="43"/>
      <c r="AK35" s="43"/>
      <c r="AL35" s="43"/>
      <c r="AM35" s="43"/>
      <c r="AN35" s="43"/>
      <c r="AO35" s="43"/>
      <c r="AP35" s="43"/>
      <c r="AQ35" s="43"/>
    </row>
    <row r="36" spans="1:43" ht="16.5" customHeight="1" x14ac:dyDescent="0.2">
      <c r="A36" s="42"/>
      <c r="B36" s="51"/>
      <c r="C36" s="338"/>
      <c r="D36" s="339" t="s">
        <v>365</v>
      </c>
      <c r="E36" s="339"/>
      <c r="F36" s="340">
        <f>Preise!$M$34</f>
        <v>2.5</v>
      </c>
      <c r="G36" s="346"/>
      <c r="H36" s="351" t="s">
        <v>366</v>
      </c>
      <c r="I36" s="352"/>
      <c r="J36" s="342" t="s">
        <v>367</v>
      </c>
      <c r="K36" s="342" t="s">
        <v>64</v>
      </c>
      <c r="L36" s="343" t="s">
        <v>368</v>
      </c>
      <c r="M36" s="506"/>
      <c r="N36" s="39"/>
      <c r="O36" s="39"/>
      <c r="S36" s="7"/>
      <c r="T36" s="7"/>
      <c r="U36" s="7"/>
      <c r="V36" s="43"/>
      <c r="W36" s="43"/>
      <c r="X36" s="43"/>
      <c r="Y36" s="43"/>
      <c r="Z36" s="43"/>
      <c r="AA36" s="43"/>
      <c r="AB36" s="43"/>
      <c r="AC36" s="43"/>
      <c r="AD36" s="43"/>
      <c r="AE36" s="43"/>
      <c r="AF36" s="43"/>
      <c r="AG36" s="43"/>
      <c r="AH36" s="43"/>
      <c r="AI36" s="43"/>
      <c r="AJ36" s="43"/>
      <c r="AK36" s="43"/>
      <c r="AL36" s="43"/>
      <c r="AM36" s="43"/>
      <c r="AN36" s="43"/>
      <c r="AO36" s="43"/>
      <c r="AP36" s="43"/>
      <c r="AQ36" s="43"/>
    </row>
    <row r="37" spans="1:43" ht="16.5" customHeight="1" x14ac:dyDescent="0.2">
      <c r="A37" s="42"/>
      <c r="B37" s="51"/>
      <c r="C37" s="76"/>
      <c r="D37" s="83" t="s">
        <v>369</v>
      </c>
      <c r="E37" s="83"/>
      <c r="F37" s="87">
        <v>1</v>
      </c>
      <c r="G37" s="293"/>
      <c r="H37" s="484" t="s">
        <v>370</v>
      </c>
      <c r="I37" s="484" t="s">
        <v>371</v>
      </c>
      <c r="J37" s="336" t="s">
        <v>22</v>
      </c>
      <c r="K37" s="336" t="s">
        <v>372</v>
      </c>
      <c r="L37" s="344" t="s">
        <v>372</v>
      </c>
      <c r="M37" s="506"/>
      <c r="N37" s="39"/>
      <c r="O37" s="39"/>
      <c r="S37" s="7"/>
      <c r="T37" s="7"/>
      <c r="U37" s="7"/>
      <c r="V37" s="43"/>
      <c r="W37" s="43"/>
      <c r="X37" s="43"/>
      <c r="Y37" s="43"/>
      <c r="Z37" s="43"/>
      <c r="AA37" s="43"/>
      <c r="AB37" s="43"/>
      <c r="AC37" s="43"/>
      <c r="AD37" s="43"/>
      <c r="AE37" s="43"/>
      <c r="AF37" s="43"/>
      <c r="AG37" s="43"/>
      <c r="AH37" s="43"/>
      <c r="AI37" s="43"/>
      <c r="AJ37" s="43"/>
      <c r="AK37" s="43"/>
      <c r="AL37" s="43"/>
      <c r="AM37" s="43"/>
      <c r="AN37" s="43"/>
      <c r="AO37" s="43"/>
      <c r="AP37" s="43"/>
      <c r="AQ37" s="43"/>
    </row>
    <row r="38" spans="1:43" ht="16.5" customHeight="1" x14ac:dyDescent="0.2">
      <c r="A38" s="42"/>
      <c r="B38" s="51"/>
      <c r="C38" s="76"/>
      <c r="D38" s="82" t="s">
        <v>373</v>
      </c>
      <c r="E38" s="293"/>
      <c r="F38" s="293"/>
      <c r="G38" s="293"/>
      <c r="H38" s="85" t="s">
        <v>37</v>
      </c>
      <c r="I38" s="85" t="s">
        <v>37</v>
      </c>
      <c r="J38" s="85" t="s">
        <v>58</v>
      </c>
      <c r="K38" s="85" t="s">
        <v>487</v>
      </c>
      <c r="L38" s="345" t="s">
        <v>37</v>
      </c>
      <c r="M38" s="506"/>
      <c r="N38" s="39"/>
      <c r="O38" s="39"/>
      <c r="S38" s="7"/>
      <c r="T38" s="7"/>
      <c r="U38" s="7"/>
      <c r="V38" s="43"/>
      <c r="W38" s="43"/>
      <c r="X38" s="43"/>
      <c r="Y38" s="43"/>
      <c r="Z38" s="43"/>
      <c r="AA38" s="43"/>
      <c r="AB38" s="43"/>
      <c r="AC38" s="43"/>
      <c r="AD38" s="43"/>
      <c r="AE38" s="43"/>
      <c r="AF38" s="43"/>
      <c r="AG38" s="43"/>
      <c r="AH38" s="43"/>
      <c r="AI38" s="43"/>
      <c r="AJ38" s="43"/>
      <c r="AK38" s="43"/>
      <c r="AL38" s="43"/>
      <c r="AM38" s="43"/>
      <c r="AN38" s="43"/>
      <c r="AO38" s="43"/>
      <c r="AP38" s="43"/>
      <c r="AQ38" s="43"/>
    </row>
    <row r="39" spans="1:43" ht="13.95" customHeight="1" x14ac:dyDescent="0.2">
      <c r="A39" s="42"/>
      <c r="B39" s="51"/>
      <c r="C39" s="51"/>
      <c r="D39" s="203" t="s">
        <v>41</v>
      </c>
      <c r="E39" s="163"/>
      <c r="F39" s="49"/>
      <c r="G39" s="49"/>
      <c r="H39" s="1877">
        <v>30</v>
      </c>
      <c r="I39" s="1879">
        <f>H39*(100+$L$5)/100</f>
        <v>35.700000000000003</v>
      </c>
      <c r="J39" s="248">
        <v>25</v>
      </c>
      <c r="K39" s="355">
        <f>IF(J39=0,0,100/J39+$F$16/2+$F$17)</f>
        <v>6.25</v>
      </c>
      <c r="L39" s="698">
        <f>I39*K39/100</f>
        <v>2.2312500000000002</v>
      </c>
      <c r="M39" s="506"/>
      <c r="N39" s="39"/>
      <c r="O39" s="39"/>
      <c r="S39" s="7"/>
      <c r="T39" s="7"/>
      <c r="U39" s="7"/>
      <c r="V39" s="43"/>
      <c r="W39" s="43"/>
      <c r="X39" s="43"/>
      <c r="Y39" s="43"/>
      <c r="Z39" s="43"/>
      <c r="AA39" s="43"/>
      <c r="AB39" s="43"/>
      <c r="AC39" s="43"/>
      <c r="AD39" s="43"/>
      <c r="AE39" s="43"/>
      <c r="AF39" s="43"/>
      <c r="AG39" s="43"/>
      <c r="AH39" s="43"/>
      <c r="AI39" s="43"/>
      <c r="AJ39" s="43"/>
      <c r="AK39" s="43"/>
      <c r="AL39" s="43"/>
      <c r="AM39" s="43"/>
      <c r="AN39" s="43"/>
      <c r="AO39" s="43"/>
      <c r="AP39" s="43"/>
      <c r="AQ39" s="43"/>
    </row>
    <row r="40" spans="1:43" ht="14.3" customHeight="1" x14ac:dyDescent="0.2">
      <c r="A40" s="42"/>
      <c r="B40" s="51"/>
      <c r="C40" s="52"/>
      <c r="D40" s="95"/>
      <c r="E40" s="53"/>
      <c r="F40" s="53"/>
      <c r="G40" s="53"/>
      <c r="H40" s="815"/>
      <c r="I40" s="812">
        <f>H40*(100+$L$5)/100</f>
        <v>0</v>
      </c>
      <c r="J40" s="481"/>
      <c r="K40" s="813">
        <f>IF(J40=0,0,100/J40+$F$16/2+$F$17)</f>
        <v>0</v>
      </c>
      <c r="L40" s="816">
        <f>I40*K40/100</f>
        <v>0</v>
      </c>
      <c r="M40" s="506"/>
      <c r="N40" s="39"/>
      <c r="O40" s="39"/>
      <c r="S40" s="7"/>
      <c r="T40" s="7"/>
      <c r="U40" s="7"/>
      <c r="V40" s="43"/>
      <c r="W40" s="43"/>
      <c r="X40" s="43"/>
      <c r="Y40" s="43"/>
      <c r="Z40" s="43"/>
      <c r="AA40" s="43"/>
      <c r="AB40" s="43"/>
      <c r="AC40" s="43"/>
      <c r="AD40" s="43"/>
      <c r="AE40" s="43"/>
      <c r="AF40" s="43"/>
      <c r="AG40" s="43"/>
      <c r="AH40" s="43"/>
      <c r="AI40" s="43"/>
      <c r="AJ40" s="43"/>
      <c r="AK40" s="43"/>
      <c r="AL40" s="43"/>
      <c r="AM40" s="43"/>
      <c r="AN40" s="43"/>
      <c r="AO40" s="43"/>
      <c r="AP40" s="43"/>
      <c r="AQ40" s="43"/>
    </row>
    <row r="41" spans="1:43" ht="20.25" customHeight="1" x14ac:dyDescent="0.2">
      <c r="A41" s="42"/>
      <c r="B41" s="912"/>
      <c r="C41" s="458"/>
      <c r="D41" s="459" t="s">
        <v>394</v>
      </c>
      <c r="E41" s="190"/>
      <c r="F41" s="190"/>
      <c r="G41" s="190"/>
      <c r="H41" s="249"/>
      <c r="I41" s="249"/>
      <c r="J41" s="460"/>
      <c r="K41" s="335"/>
      <c r="L41" s="697">
        <f>SUM(L39:L40)</f>
        <v>2.2312500000000002</v>
      </c>
      <c r="M41" s="1122"/>
      <c r="N41" s="39"/>
      <c r="O41" s="39"/>
      <c r="S41" s="7"/>
      <c r="T41" s="7"/>
      <c r="U41" s="7"/>
      <c r="V41" s="43"/>
      <c r="W41" s="43"/>
      <c r="X41" s="43"/>
      <c r="Y41" s="43"/>
      <c r="Z41" s="43"/>
      <c r="AA41" s="43"/>
      <c r="AB41" s="43"/>
      <c r="AC41" s="43"/>
      <c r="AD41" s="43"/>
      <c r="AE41" s="43"/>
      <c r="AF41" s="43"/>
      <c r="AG41" s="43"/>
      <c r="AH41" s="43"/>
      <c r="AI41" s="43"/>
      <c r="AJ41" s="43"/>
      <c r="AK41" s="43"/>
      <c r="AL41" s="43"/>
      <c r="AM41" s="43"/>
      <c r="AN41" s="43"/>
      <c r="AO41" s="43"/>
      <c r="AP41" s="43"/>
      <c r="AQ41" s="43"/>
    </row>
    <row r="42" spans="1:43" s="746" customFormat="1" ht="11.25" customHeight="1" x14ac:dyDescent="0.25">
      <c r="A42" s="742"/>
      <c r="B42" s="1123"/>
      <c r="C42" s="1124"/>
      <c r="D42" s="163"/>
      <c r="E42" s="33"/>
      <c r="F42" s="1074"/>
      <c r="G42" s="35"/>
      <c r="H42" s="163"/>
      <c r="I42" s="163"/>
      <c r="J42" s="34"/>
      <c r="K42" s="34"/>
      <c r="L42" s="163"/>
      <c r="M42" s="1125"/>
      <c r="N42" s="743"/>
      <c r="O42" s="743"/>
      <c r="P42" s="740"/>
      <c r="Q42" s="744"/>
      <c r="R42" s="744"/>
      <c r="S42" s="744"/>
      <c r="T42" s="744"/>
      <c r="U42" s="744"/>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row>
    <row r="43" spans="1:43" ht="20.25" customHeight="1" x14ac:dyDescent="0.2">
      <c r="A43" s="42"/>
      <c r="B43" s="51"/>
      <c r="C43" s="49"/>
      <c r="D43" s="49"/>
      <c r="E43" s="49"/>
      <c r="F43" s="49"/>
      <c r="G43" s="49"/>
      <c r="H43" s="49"/>
      <c r="I43" s="49"/>
      <c r="J43" s="49"/>
      <c r="K43" s="163"/>
      <c r="L43" s="163"/>
      <c r="M43" s="170"/>
      <c r="N43" s="39"/>
      <c r="O43" s="39"/>
      <c r="S43" s="7"/>
      <c r="T43" s="7"/>
      <c r="U43" s="7"/>
      <c r="V43" s="43"/>
      <c r="W43" s="43"/>
      <c r="X43" s="43"/>
      <c r="Y43" s="43"/>
      <c r="Z43" s="43"/>
      <c r="AA43" s="43"/>
      <c r="AB43" s="43"/>
      <c r="AC43" s="43"/>
      <c r="AD43" s="43"/>
      <c r="AE43" s="43"/>
      <c r="AF43" s="43"/>
      <c r="AG43" s="43"/>
      <c r="AH43" s="43"/>
      <c r="AI43" s="43"/>
      <c r="AJ43" s="43"/>
      <c r="AK43" s="43"/>
      <c r="AL43" s="43"/>
      <c r="AM43" s="43"/>
      <c r="AN43" s="43"/>
      <c r="AO43" s="43"/>
      <c r="AP43" s="43"/>
      <c r="AQ43" s="43"/>
    </row>
    <row r="44" spans="1:43" ht="20.25" customHeight="1" x14ac:dyDescent="0.2">
      <c r="A44" s="42"/>
      <c r="B44" s="51"/>
      <c r="C44" s="49"/>
      <c r="D44" s="49"/>
      <c r="E44" s="49"/>
      <c r="F44" s="49"/>
      <c r="G44" s="50"/>
      <c r="H44" s="1124" t="s">
        <v>44</v>
      </c>
      <c r="I44" s="49"/>
      <c r="J44" s="49"/>
      <c r="K44" s="49"/>
      <c r="L44" s="49"/>
      <c r="M44" s="170"/>
      <c r="N44" s="39"/>
      <c r="O44" s="39"/>
      <c r="S44" s="7"/>
      <c r="T44" s="7"/>
      <c r="U44" s="7"/>
      <c r="V44" s="43"/>
      <c r="W44" s="43"/>
      <c r="X44" s="43"/>
      <c r="Y44" s="43"/>
      <c r="Z44" s="43"/>
      <c r="AA44" s="43"/>
      <c r="AB44" s="43"/>
      <c r="AC44" s="43"/>
      <c r="AD44" s="43"/>
      <c r="AE44" s="43"/>
      <c r="AF44" s="43"/>
      <c r="AG44" s="43"/>
      <c r="AH44" s="43"/>
      <c r="AI44" s="43"/>
      <c r="AJ44" s="43"/>
      <c r="AK44" s="43"/>
      <c r="AL44" s="43"/>
      <c r="AM44" s="43"/>
      <c r="AN44" s="43"/>
      <c r="AO44" s="43"/>
      <c r="AP44" s="43"/>
      <c r="AQ44" s="43"/>
    </row>
    <row r="45" spans="1:43" ht="20.25" customHeight="1" x14ac:dyDescent="0.2">
      <c r="A45" s="42"/>
      <c r="B45" s="51"/>
      <c r="C45" s="49"/>
      <c r="D45" s="2152" t="s">
        <v>43</v>
      </c>
      <c r="E45" s="49"/>
      <c r="F45" s="49"/>
      <c r="G45" s="50"/>
      <c r="H45" s="357"/>
      <c r="I45" s="341"/>
      <c r="J45" s="2153" t="s">
        <v>45</v>
      </c>
      <c r="K45" s="2153" t="s">
        <v>317</v>
      </c>
      <c r="L45" s="2154" t="s">
        <v>46</v>
      </c>
      <c r="M45" s="170"/>
      <c r="N45" s="39"/>
      <c r="O45" s="39"/>
      <c r="S45" s="7"/>
      <c r="T45" s="7"/>
      <c r="U45" s="7"/>
      <c r="V45" s="43"/>
      <c r="W45" s="43"/>
      <c r="X45" s="43"/>
      <c r="Y45" s="43"/>
      <c r="Z45" s="43"/>
      <c r="AA45" s="43"/>
      <c r="AB45" s="43"/>
      <c r="AC45" s="43"/>
      <c r="AD45" s="43"/>
      <c r="AE45" s="43"/>
      <c r="AF45" s="43"/>
      <c r="AG45" s="43"/>
      <c r="AH45" s="43"/>
      <c r="AI45" s="43"/>
      <c r="AJ45" s="43"/>
      <c r="AK45" s="43"/>
      <c r="AL45" s="43"/>
      <c r="AM45" s="43"/>
      <c r="AN45" s="43"/>
      <c r="AO45" s="43"/>
      <c r="AP45" s="43"/>
      <c r="AQ45" s="43"/>
    </row>
    <row r="46" spans="1:43" ht="20.25" customHeight="1" x14ac:dyDescent="0.2">
      <c r="A46" s="42"/>
      <c r="B46" s="51"/>
      <c r="C46" s="49"/>
      <c r="D46" s="50"/>
      <c r="E46" s="49"/>
      <c r="F46" s="49"/>
      <c r="G46" s="50" t="s">
        <v>68</v>
      </c>
      <c r="H46" s="338"/>
      <c r="I46" s="2155" t="s">
        <v>154</v>
      </c>
      <c r="J46" s="3109">
        <v>170</v>
      </c>
      <c r="K46" s="3109">
        <v>80</v>
      </c>
      <c r="L46" s="2156">
        <v>220</v>
      </c>
      <c r="M46" s="170"/>
      <c r="N46" s="39"/>
      <c r="O46" s="39"/>
      <c r="S46" s="7"/>
      <c r="T46" s="7"/>
      <c r="U46" s="7"/>
      <c r="V46" s="43"/>
      <c r="W46" s="43"/>
      <c r="X46" s="43"/>
      <c r="Y46" s="43"/>
      <c r="Z46" s="43"/>
      <c r="AA46" s="43"/>
      <c r="AB46" s="43"/>
      <c r="AC46" s="43"/>
      <c r="AD46" s="43"/>
      <c r="AE46" s="43"/>
      <c r="AF46" s="43"/>
      <c r="AG46" s="43"/>
      <c r="AH46" s="43"/>
      <c r="AI46" s="43"/>
      <c r="AJ46" s="43"/>
      <c r="AK46" s="43"/>
      <c r="AL46" s="43"/>
      <c r="AM46" s="43"/>
      <c r="AN46" s="43"/>
      <c r="AO46" s="43"/>
      <c r="AP46" s="43"/>
      <c r="AQ46" s="43"/>
    </row>
    <row r="47" spans="1:43" ht="20.25" customHeight="1" x14ac:dyDescent="0.2">
      <c r="A47" s="42"/>
      <c r="B47" s="51"/>
      <c r="C47" s="49"/>
      <c r="D47" s="2108" t="s">
        <v>452</v>
      </c>
      <c r="E47" s="49"/>
      <c r="F47" s="50"/>
      <c r="G47" s="50" t="s">
        <v>69</v>
      </c>
      <c r="H47" s="2157"/>
      <c r="I47" s="2158" t="s">
        <v>154</v>
      </c>
      <c r="J47" s="2161">
        <v>170</v>
      </c>
      <c r="K47" s="2161">
        <v>80</v>
      </c>
      <c r="L47" s="2162">
        <v>270</v>
      </c>
      <c r="M47" s="170"/>
      <c r="N47" s="39"/>
      <c r="O47" s="39"/>
      <c r="S47" s="7"/>
      <c r="T47" s="7"/>
      <c r="U47" s="7"/>
      <c r="V47" s="43"/>
      <c r="W47" s="43"/>
      <c r="X47" s="43"/>
      <c r="Y47" s="43"/>
      <c r="Z47" s="43"/>
      <c r="AA47" s="43"/>
      <c r="AB47" s="43"/>
      <c r="AC47" s="43"/>
      <c r="AD47" s="43"/>
      <c r="AE47" s="43"/>
      <c r="AF47" s="43"/>
      <c r="AG47" s="43"/>
      <c r="AH47" s="43"/>
      <c r="AI47" s="43"/>
      <c r="AJ47" s="43"/>
      <c r="AK47" s="43"/>
      <c r="AL47" s="43"/>
      <c r="AM47" s="43"/>
      <c r="AN47" s="43"/>
      <c r="AO47" s="43"/>
      <c r="AP47" s="43"/>
      <c r="AQ47" s="43"/>
    </row>
    <row r="48" spans="1:43" ht="20.25" customHeight="1" x14ac:dyDescent="0.2">
      <c r="A48" s="42"/>
      <c r="B48" s="51"/>
      <c r="C48" s="49"/>
      <c r="E48" s="49"/>
      <c r="F48" s="50"/>
      <c r="G48" s="50" t="s">
        <v>70</v>
      </c>
      <c r="H48" s="52"/>
      <c r="I48" s="2159" t="s">
        <v>154</v>
      </c>
      <c r="J48" s="3110">
        <v>170</v>
      </c>
      <c r="K48" s="3110">
        <v>80</v>
      </c>
      <c r="L48" s="2160">
        <v>320</v>
      </c>
      <c r="M48" s="170"/>
      <c r="N48" s="39"/>
      <c r="O48" s="39"/>
      <c r="S48" s="7"/>
      <c r="T48" s="7"/>
      <c r="U48" s="7"/>
      <c r="V48" s="43"/>
      <c r="W48" s="43"/>
      <c r="X48" s="43"/>
      <c r="Y48" s="43"/>
      <c r="Z48" s="43"/>
      <c r="AA48" s="43"/>
      <c r="AB48" s="43"/>
      <c r="AC48" s="43"/>
      <c r="AD48" s="43"/>
      <c r="AE48" s="43"/>
      <c r="AF48" s="43"/>
      <c r="AG48" s="43"/>
      <c r="AH48" s="43"/>
      <c r="AI48" s="43"/>
      <c r="AJ48" s="43"/>
      <c r="AK48" s="43"/>
      <c r="AL48" s="43"/>
      <c r="AM48" s="43"/>
      <c r="AN48" s="43"/>
      <c r="AO48" s="43"/>
      <c r="AP48" s="43"/>
      <c r="AQ48" s="43"/>
    </row>
    <row r="49" spans="1:43" ht="5.95" customHeight="1" x14ac:dyDescent="0.2">
      <c r="A49" s="42"/>
      <c r="B49" s="51"/>
      <c r="C49" s="49"/>
      <c r="D49" s="49"/>
      <c r="E49" s="49"/>
      <c r="F49" s="49"/>
      <c r="G49" s="49"/>
      <c r="H49" s="49"/>
      <c r="I49" s="49"/>
      <c r="J49" s="49"/>
      <c r="K49" s="163"/>
      <c r="L49" s="163"/>
      <c r="M49" s="170"/>
      <c r="N49" s="39"/>
      <c r="O49" s="39"/>
      <c r="S49" s="7"/>
      <c r="T49" s="7"/>
      <c r="U49" s="7"/>
      <c r="V49" s="43"/>
      <c r="W49" s="43"/>
      <c r="X49" s="43"/>
      <c r="Y49" s="43"/>
      <c r="Z49" s="43"/>
      <c r="AA49" s="43"/>
      <c r="AB49" s="43"/>
      <c r="AC49" s="43"/>
      <c r="AD49" s="43"/>
      <c r="AE49" s="43"/>
      <c r="AF49" s="43"/>
      <c r="AG49" s="43"/>
      <c r="AH49" s="43"/>
      <c r="AI49" s="43"/>
      <c r="AJ49" s="43"/>
      <c r="AK49" s="43"/>
      <c r="AL49" s="43"/>
      <c r="AM49" s="43"/>
      <c r="AN49" s="43"/>
      <c r="AO49" s="43"/>
      <c r="AP49" s="43"/>
      <c r="AQ49" s="43"/>
    </row>
    <row r="50" spans="1:43" ht="5.3" customHeight="1" x14ac:dyDescent="0.2">
      <c r="A50" s="42"/>
      <c r="B50" s="51"/>
      <c r="C50" s="49"/>
      <c r="D50" s="49"/>
      <c r="E50" s="49"/>
      <c r="F50" s="49"/>
      <c r="G50" s="49"/>
      <c r="H50" s="49"/>
      <c r="I50" s="49"/>
      <c r="J50" s="49"/>
      <c r="K50" s="163"/>
      <c r="L50" s="163"/>
      <c r="M50" s="170"/>
      <c r="N50" s="39"/>
      <c r="O50" s="39"/>
      <c r="S50" s="7"/>
      <c r="T50" s="7"/>
      <c r="U50" s="7"/>
      <c r="V50" s="43"/>
      <c r="W50" s="43"/>
      <c r="X50" s="43"/>
      <c r="Y50" s="43"/>
      <c r="Z50" s="43"/>
      <c r="AA50" s="43"/>
      <c r="AB50" s="43"/>
      <c r="AC50" s="43"/>
      <c r="AD50" s="43"/>
      <c r="AE50" s="43"/>
      <c r="AF50" s="43"/>
      <c r="AG50" s="43"/>
      <c r="AH50" s="43"/>
      <c r="AI50" s="43"/>
      <c r="AJ50" s="43"/>
      <c r="AK50" s="43"/>
      <c r="AL50" s="43"/>
      <c r="AM50" s="43"/>
      <c r="AN50" s="43"/>
      <c r="AO50" s="43"/>
      <c r="AP50" s="43"/>
      <c r="AQ50" s="43"/>
    </row>
    <row r="51" spans="1:43" s="50" customFormat="1" ht="15.8" customHeight="1" x14ac:dyDescent="0.2">
      <c r="B51" s="51"/>
      <c r="C51" s="49"/>
      <c r="D51" s="163"/>
      <c r="E51" s="49"/>
      <c r="F51" s="163"/>
      <c r="G51" s="49"/>
      <c r="H51" s="49"/>
      <c r="K51" s="1166"/>
      <c r="L51" s="1166"/>
      <c r="M51" s="506"/>
      <c r="N51" s="39"/>
      <c r="O51" s="39"/>
      <c r="P51"/>
      <c r="Q51" s="7"/>
      <c r="R51" s="7"/>
      <c r="S51" s="7"/>
      <c r="T51" s="7"/>
      <c r="U51" s="7"/>
    </row>
    <row r="52" spans="1:43" s="50" customFormat="1" ht="15.8" customHeight="1" x14ac:dyDescent="0.2">
      <c r="B52" s="51"/>
      <c r="C52"/>
      <c r="D52"/>
      <c r="E52"/>
      <c r="F52"/>
      <c r="G52"/>
      <c r="H52" s="49"/>
      <c r="I52" s="2742" t="s">
        <v>1027</v>
      </c>
      <c r="J52" s="1167"/>
      <c r="K52" s="1167"/>
      <c r="L52" s="1167"/>
      <c r="M52" s="1127"/>
      <c r="N52" s="741"/>
      <c r="O52" s="39"/>
      <c r="P52"/>
      <c r="Q52" s="7"/>
      <c r="R52" s="7"/>
      <c r="S52" s="7"/>
      <c r="T52" s="7"/>
      <c r="U52" s="7"/>
    </row>
    <row r="53" spans="1:43" s="50" customFormat="1" ht="21.25" customHeight="1" x14ac:dyDescent="0.2">
      <c r="B53" s="51"/>
      <c r="C53"/>
      <c r="D53" s="2152" t="s">
        <v>42</v>
      </c>
      <c r="E53"/>
      <c r="F53"/>
      <c r="G53"/>
      <c r="H53" s="49"/>
      <c r="I53" s="2743" t="s">
        <v>1028</v>
      </c>
      <c r="J53" s="299"/>
      <c r="K53" s="299"/>
      <c r="L53" s="299"/>
      <c r="M53" s="1127"/>
      <c r="N53" s="741"/>
      <c r="O53" s="39"/>
      <c r="P53"/>
      <c r="Q53" s="7"/>
      <c r="R53" s="7"/>
      <c r="S53" s="7"/>
      <c r="T53" s="7"/>
      <c r="U53" s="7"/>
    </row>
    <row r="54" spans="1:43" s="50" customFormat="1" ht="16.5" customHeight="1" x14ac:dyDescent="0.2">
      <c r="B54" s="51"/>
      <c r="C54"/>
      <c r="D54" s="1166"/>
      <c r="E54"/>
      <c r="F54"/>
      <c r="G54"/>
      <c r="H54" s="49"/>
      <c r="I54" s="555"/>
      <c r="J54" s="555"/>
      <c r="K54" s="557" t="s">
        <v>484</v>
      </c>
      <c r="L54" s="558" t="s">
        <v>47</v>
      </c>
      <c r="M54" s="506"/>
      <c r="N54" s="39"/>
      <c r="O54" s="39"/>
      <c r="P54"/>
      <c r="Q54" s="7"/>
      <c r="R54" s="7"/>
      <c r="S54" s="7"/>
      <c r="T54" s="7"/>
      <c r="U54" s="7"/>
    </row>
    <row r="55" spans="1:43" s="50" customFormat="1" ht="14.95" customHeight="1" x14ac:dyDescent="0.2">
      <c r="B55" s="51"/>
      <c r="C55"/>
      <c r="D55"/>
      <c r="E55"/>
      <c r="F55"/>
      <c r="G55"/>
      <c r="H55" s="49"/>
      <c r="I55" s="559"/>
      <c r="J55" s="559"/>
      <c r="K55" s="560" t="s">
        <v>48</v>
      </c>
      <c r="L55" s="561" t="s">
        <v>48</v>
      </c>
      <c r="M55" s="506"/>
      <c r="N55" s="39"/>
      <c r="O55" s="39"/>
      <c r="P55"/>
      <c r="Q55" s="7"/>
      <c r="R55" s="7"/>
      <c r="S55" s="7"/>
      <c r="T55" s="7"/>
      <c r="U55" s="7"/>
    </row>
    <row r="56" spans="1:43" s="50" customFormat="1" ht="14.95" customHeight="1" x14ac:dyDescent="0.2">
      <c r="B56" s="166"/>
      <c r="C56" s="7"/>
      <c r="D56" s="163"/>
      <c r="E56" s="7"/>
      <c r="F56" s="7"/>
      <c r="G56" s="7"/>
      <c r="H56" s="7"/>
      <c r="I56" s="554" t="s">
        <v>154</v>
      </c>
      <c r="J56" s="554"/>
      <c r="K56" s="3057">
        <v>105</v>
      </c>
      <c r="L56" s="556">
        <f>K56*(100+$L$5)/100</f>
        <v>124.95</v>
      </c>
      <c r="M56" s="97"/>
      <c r="N56" s="39"/>
      <c r="O56" s="39"/>
      <c r="P56"/>
      <c r="Q56" s="7"/>
      <c r="R56" s="7"/>
      <c r="S56" s="7"/>
      <c r="T56" s="7"/>
      <c r="U56" s="7"/>
    </row>
    <row r="57" spans="1:43" s="50" customFormat="1" ht="14.95" customHeight="1" x14ac:dyDescent="0.2">
      <c r="B57" s="166"/>
      <c r="C57" s="7"/>
      <c r="D57" s="163"/>
      <c r="E57" s="7"/>
      <c r="F57" s="7"/>
      <c r="G57" s="7"/>
      <c r="H57" s="7"/>
      <c r="I57" s="7"/>
      <c r="J57" s="49"/>
      <c r="K57" s="49"/>
      <c r="L57" s="49"/>
      <c r="M57" s="97"/>
      <c r="N57" s="39"/>
      <c r="O57" s="39"/>
      <c r="P57"/>
      <c r="Q57" s="7"/>
      <c r="R57" s="7"/>
      <c r="S57" s="7"/>
      <c r="T57" s="7"/>
      <c r="U57" s="7"/>
    </row>
    <row r="58" spans="1:43" s="457" customFormat="1" ht="16.5" customHeight="1" x14ac:dyDescent="0.2">
      <c r="B58" s="52"/>
      <c r="C58" s="53"/>
      <c r="D58" s="36"/>
      <c r="E58" s="74"/>
      <c r="F58" s="74"/>
      <c r="G58" s="74"/>
      <c r="H58" s="74"/>
      <c r="I58" s="74"/>
      <c r="J58" s="53"/>
      <c r="K58" s="53"/>
      <c r="L58" s="53"/>
      <c r="M58" s="93"/>
      <c r="N58" s="462"/>
      <c r="O58" s="462"/>
      <c r="P58" s="461"/>
      <c r="Q58" s="449"/>
      <c r="R58" s="449"/>
      <c r="S58" s="449"/>
      <c r="T58" s="449"/>
      <c r="U58" s="449"/>
    </row>
    <row r="59" spans="1:43" ht="11.25" customHeight="1" x14ac:dyDescent="0.2">
      <c r="A59" s="42"/>
      <c r="B59" s="50"/>
      <c r="C59" s="50"/>
      <c r="D59"/>
      <c r="H59" s="7"/>
      <c r="I59" s="7"/>
      <c r="J59" s="50"/>
      <c r="K59" s="50"/>
      <c r="L59" s="50"/>
      <c r="M59" s="50"/>
      <c r="N59" s="39"/>
      <c r="O59" s="39"/>
      <c r="S59" s="7"/>
      <c r="T59" s="7"/>
      <c r="U59" s="7"/>
      <c r="V59" s="43"/>
      <c r="W59" s="43"/>
      <c r="X59" s="43"/>
      <c r="Y59" s="43"/>
      <c r="Z59" s="43"/>
      <c r="AA59" s="43"/>
      <c r="AB59" s="43"/>
      <c r="AC59" s="43"/>
      <c r="AD59" s="43"/>
      <c r="AE59" s="43"/>
      <c r="AF59" s="43"/>
      <c r="AG59" s="43"/>
      <c r="AH59" s="43"/>
      <c r="AI59" s="43"/>
      <c r="AJ59" s="43"/>
      <c r="AK59" s="43"/>
      <c r="AL59" s="43"/>
      <c r="AM59" s="43"/>
      <c r="AN59" s="43"/>
      <c r="AO59" s="43"/>
      <c r="AP59" s="43"/>
      <c r="AQ59" s="43"/>
    </row>
    <row r="60" spans="1:43" s="50" customFormat="1" ht="16.5" customHeight="1" x14ac:dyDescent="0.2">
      <c r="D60"/>
      <c r="E60" s="7"/>
      <c r="F60" s="7"/>
      <c r="G60" s="7"/>
      <c r="H60" s="7"/>
      <c r="I60" s="7"/>
      <c r="P60"/>
      <c r="Q60" s="7"/>
      <c r="R60" s="7"/>
      <c r="S60" s="7"/>
      <c r="T60" s="7"/>
      <c r="U60" s="7"/>
    </row>
    <row r="61" spans="1:43" s="50" customFormat="1" ht="20.25" customHeight="1" x14ac:dyDescent="0.2">
      <c r="D61"/>
      <c r="E61" s="7"/>
      <c r="F61" s="7"/>
      <c r="G61" s="7"/>
      <c r="H61" s="7"/>
      <c r="I61" s="7"/>
      <c r="O61"/>
      <c r="P61"/>
      <c r="Q61"/>
      <c r="R61" s="7"/>
      <c r="S61" s="7"/>
      <c r="T61" s="7"/>
      <c r="U61" s="7"/>
    </row>
    <row r="62" spans="1:43" s="50" customFormat="1" ht="21.75" customHeight="1" x14ac:dyDescent="0.2">
      <c r="D62"/>
      <c r="E62" s="7"/>
      <c r="F62" s="7"/>
      <c r="G62" s="7"/>
      <c r="H62" s="7"/>
      <c r="I62" s="7"/>
      <c r="N62"/>
      <c r="O62"/>
      <c r="P62"/>
      <c r="Q62"/>
      <c r="R62" s="7"/>
      <c r="S62" s="7"/>
      <c r="T62" s="7"/>
      <c r="U62" s="7"/>
    </row>
    <row r="63" spans="1:43" s="50" customFormat="1" ht="16.5" customHeight="1" x14ac:dyDescent="0.2">
      <c r="D63"/>
      <c r="E63" s="7"/>
      <c r="F63" s="7"/>
      <c r="G63" s="7"/>
      <c r="H63" s="7"/>
      <c r="I63" s="7"/>
      <c r="N63"/>
      <c r="O63"/>
      <c r="P63"/>
      <c r="Q63" s="7"/>
      <c r="R63" s="7"/>
      <c r="S63" s="7"/>
      <c r="T63" s="7"/>
      <c r="U63" s="7"/>
    </row>
    <row r="64" spans="1:43" s="50" customFormat="1" ht="16.5" customHeight="1" x14ac:dyDescent="0.2">
      <c r="D64"/>
      <c r="E64" s="7"/>
      <c r="F64" s="7"/>
      <c r="G64" s="7"/>
      <c r="H64" s="7"/>
      <c r="I64" s="7"/>
      <c r="N64"/>
      <c r="O64"/>
      <c r="P64"/>
      <c r="Q64" s="7"/>
      <c r="R64" s="7"/>
      <c r="S64" s="7"/>
      <c r="T64" s="7"/>
      <c r="U64" s="7"/>
    </row>
    <row r="65" spans="2:21" ht="13.6" x14ac:dyDescent="0.2">
      <c r="B65" s="50"/>
      <c r="C65" s="50"/>
      <c r="D65"/>
      <c r="H65" s="7"/>
      <c r="I65" s="50"/>
      <c r="J65" s="50"/>
      <c r="K65" s="50"/>
      <c r="L65" s="50"/>
      <c r="M65" s="50"/>
      <c r="N65" s="8"/>
      <c r="O65" s="8"/>
      <c r="P65" s="8"/>
      <c r="Q65" s="8"/>
      <c r="R65" s="8"/>
    </row>
    <row r="66" spans="2:21" ht="13.6" x14ac:dyDescent="0.2">
      <c r="B66" s="50"/>
      <c r="C66" s="50"/>
      <c r="D66" s="50"/>
      <c r="E66" s="50"/>
      <c r="F66" s="50"/>
      <c r="G66" s="50"/>
      <c r="H66" s="50"/>
      <c r="I66" s="50"/>
      <c r="J66" s="50"/>
      <c r="K66" s="50"/>
      <c r="L66" s="50"/>
      <c r="M66" s="50"/>
      <c r="N66" s="8"/>
      <c r="O66" s="8"/>
      <c r="P66" s="8"/>
      <c r="Q66" s="8"/>
      <c r="R66" s="8"/>
    </row>
    <row r="67" spans="2:21" s="50" customFormat="1" ht="16.5" customHeight="1" x14ac:dyDescent="0.2"/>
    <row r="68" spans="2:21" s="50" customFormat="1" ht="16.5" customHeight="1" x14ac:dyDescent="0.2"/>
    <row r="69" spans="2:21" s="50" customFormat="1" ht="16.5" customHeight="1" x14ac:dyDescent="0.2"/>
    <row r="70" spans="2:21" s="50" customFormat="1" ht="16.5" customHeight="1" x14ac:dyDescent="0.2"/>
    <row r="71" spans="2:21" s="50" customFormat="1" ht="16.5" customHeight="1" x14ac:dyDescent="0.2"/>
    <row r="72" spans="2:21" s="50" customFormat="1" ht="16.5" customHeight="1" x14ac:dyDescent="0.2"/>
    <row r="73" spans="2:21" s="50" customFormat="1" ht="16.5" customHeight="1" x14ac:dyDescent="0.2"/>
    <row r="74" spans="2:21" s="50" customFormat="1" ht="16.5" customHeight="1" x14ac:dyDescent="0.2"/>
    <row r="75" spans="2:21" s="50" customFormat="1" ht="16.5" customHeight="1" x14ac:dyDescent="0.2">
      <c r="P75"/>
      <c r="Q75" s="7"/>
      <c r="R75" s="7"/>
      <c r="S75" s="7"/>
      <c r="T75" s="7"/>
      <c r="U75" s="7"/>
    </row>
    <row r="76" spans="2:21" s="50" customFormat="1" ht="16.5" customHeight="1" x14ac:dyDescent="0.2">
      <c r="P76"/>
      <c r="Q76" s="7"/>
      <c r="R76" s="7"/>
      <c r="S76" s="7"/>
      <c r="T76" s="7"/>
      <c r="U76" s="7"/>
    </row>
    <row r="77" spans="2:21" s="50" customFormat="1" ht="16.5" customHeight="1" x14ac:dyDescent="0.2">
      <c r="P77"/>
      <c r="Q77" s="7"/>
      <c r="R77" s="7"/>
      <c r="S77" s="7"/>
      <c r="T77" s="7"/>
      <c r="U77" s="7"/>
    </row>
    <row r="78" spans="2:21" s="50" customFormat="1" ht="16.5" customHeight="1" x14ac:dyDescent="0.2">
      <c r="P78"/>
      <c r="Q78" s="7"/>
      <c r="R78" s="7"/>
      <c r="S78" s="7"/>
      <c r="T78" s="7"/>
      <c r="U78" s="7"/>
    </row>
    <row r="79" spans="2:21" s="50" customFormat="1" ht="16.5" customHeight="1" x14ac:dyDescent="0.2">
      <c r="P79"/>
      <c r="Q79" s="7"/>
      <c r="R79" s="7"/>
      <c r="S79" s="7"/>
      <c r="T79" s="7"/>
      <c r="U79" s="7"/>
    </row>
    <row r="80" spans="2:21" s="50" customFormat="1" ht="16.5" customHeight="1" x14ac:dyDescent="0.2">
      <c r="P80"/>
      <c r="Q80" s="7"/>
      <c r="R80" s="7"/>
      <c r="S80" s="7"/>
      <c r="T80" s="7"/>
      <c r="U80" s="7"/>
    </row>
    <row r="81" spans="16:21" s="50" customFormat="1" ht="16.5" customHeight="1" x14ac:dyDescent="0.2">
      <c r="P81"/>
      <c r="Q81" s="7"/>
      <c r="R81" s="7"/>
      <c r="S81" s="7"/>
      <c r="T81" s="7"/>
      <c r="U81" s="7"/>
    </row>
    <row r="82" spans="16:21" s="50" customFormat="1" ht="16.5" customHeight="1" x14ac:dyDescent="0.2">
      <c r="P82"/>
      <c r="Q82" s="7"/>
      <c r="R82" s="7"/>
      <c r="S82" s="7"/>
      <c r="T82" s="7"/>
      <c r="U82" s="7"/>
    </row>
    <row r="83" spans="16:21" s="50" customFormat="1" ht="16.5" customHeight="1" x14ac:dyDescent="0.2">
      <c r="P83"/>
      <c r="Q83" s="7"/>
      <c r="R83" s="7"/>
      <c r="S83" s="7"/>
      <c r="T83" s="7"/>
      <c r="U83" s="7"/>
    </row>
    <row r="84" spans="16:21" s="50" customFormat="1" ht="16.5" customHeight="1" x14ac:dyDescent="0.2">
      <c r="P84"/>
      <c r="Q84" s="7"/>
      <c r="R84" s="7"/>
      <c r="S84" s="7"/>
      <c r="T84" s="7"/>
      <c r="U84" s="7"/>
    </row>
    <row r="85" spans="16:21" s="50" customFormat="1" ht="16.5" customHeight="1" x14ac:dyDescent="0.2">
      <c r="P85"/>
      <c r="Q85" s="7"/>
      <c r="R85" s="7"/>
      <c r="S85" s="7"/>
      <c r="T85" s="7"/>
      <c r="U85" s="7"/>
    </row>
    <row r="86" spans="16:21" s="50" customFormat="1" ht="16.5" customHeight="1" x14ac:dyDescent="0.2">
      <c r="P86"/>
      <c r="Q86" s="7"/>
      <c r="R86" s="7"/>
      <c r="S86" s="7"/>
      <c r="T86" s="7"/>
      <c r="U86" s="7"/>
    </row>
    <row r="87" spans="16:21" s="50" customFormat="1" ht="16.5" customHeight="1" x14ac:dyDescent="0.2">
      <c r="P87"/>
      <c r="Q87" s="7"/>
      <c r="R87" s="7"/>
      <c r="S87" s="7"/>
      <c r="T87" s="7"/>
      <c r="U87" s="7"/>
    </row>
    <row r="88" spans="16:21" s="50" customFormat="1" ht="16.5" customHeight="1" x14ac:dyDescent="0.2">
      <c r="P88"/>
      <c r="Q88" s="7"/>
      <c r="R88" s="7"/>
      <c r="S88" s="7"/>
      <c r="T88" s="7"/>
      <c r="U88" s="7"/>
    </row>
    <row r="89" spans="16:21" s="50" customFormat="1" ht="16.5" customHeight="1" x14ac:dyDescent="0.2">
      <c r="P89"/>
      <c r="Q89" s="7"/>
      <c r="R89" s="7"/>
      <c r="S89" s="7"/>
      <c r="T89" s="7"/>
      <c r="U89" s="7"/>
    </row>
    <row r="90" spans="16:21" s="50" customFormat="1" ht="16.5" customHeight="1" x14ac:dyDescent="0.2">
      <c r="P90"/>
      <c r="Q90" s="7"/>
      <c r="R90" s="7"/>
      <c r="S90" s="7"/>
      <c r="T90" s="7"/>
      <c r="U90" s="7"/>
    </row>
    <row r="91" spans="16:21" s="50" customFormat="1" ht="16.5" customHeight="1" x14ac:dyDescent="0.2">
      <c r="P91"/>
      <c r="Q91" s="7"/>
      <c r="R91" s="7"/>
      <c r="S91" s="7"/>
      <c r="T91" s="7"/>
      <c r="U91" s="7"/>
    </row>
    <row r="92" spans="16:21" s="50" customFormat="1" ht="16.5" customHeight="1" x14ac:dyDescent="0.2">
      <c r="P92"/>
      <c r="Q92" s="7"/>
      <c r="R92" s="7"/>
      <c r="S92" s="7"/>
      <c r="T92" s="7"/>
      <c r="U92" s="7"/>
    </row>
    <row r="93" spans="16:21" s="50" customFormat="1" ht="16.5" customHeight="1" x14ac:dyDescent="0.2">
      <c r="P93"/>
      <c r="Q93" s="7"/>
      <c r="R93" s="7"/>
      <c r="S93" s="7"/>
      <c r="T93" s="7"/>
      <c r="U93" s="7"/>
    </row>
    <row r="94" spans="16:21" s="50" customFormat="1" ht="16.5" customHeight="1" x14ac:dyDescent="0.2">
      <c r="P94"/>
      <c r="Q94" s="7"/>
      <c r="R94" s="7"/>
      <c r="S94" s="7"/>
      <c r="T94" s="7"/>
      <c r="U94" s="7"/>
    </row>
    <row r="95" spans="16:21" s="50" customFormat="1" ht="16.5" customHeight="1" x14ac:dyDescent="0.2">
      <c r="P95"/>
      <c r="Q95" s="7"/>
      <c r="R95" s="7"/>
      <c r="S95" s="7"/>
      <c r="T95" s="7"/>
      <c r="U95" s="7"/>
    </row>
    <row r="96" spans="16:21" s="50" customFormat="1" ht="16.5" customHeight="1" x14ac:dyDescent="0.2">
      <c r="P96"/>
      <c r="Q96" s="7"/>
      <c r="R96" s="7"/>
      <c r="S96" s="7"/>
      <c r="T96" s="7"/>
      <c r="U96" s="7"/>
    </row>
    <row r="97" spans="16:21" s="50" customFormat="1" ht="16.5" customHeight="1" x14ac:dyDescent="0.2">
      <c r="P97"/>
      <c r="Q97" s="7"/>
      <c r="R97" s="7"/>
      <c r="S97" s="7"/>
      <c r="T97" s="7"/>
      <c r="U97" s="7"/>
    </row>
    <row r="98" spans="16:21" s="50" customFormat="1" ht="16.5" customHeight="1" x14ac:dyDescent="0.2">
      <c r="P98"/>
      <c r="Q98" s="7"/>
      <c r="R98" s="7"/>
      <c r="S98" s="7"/>
      <c r="T98" s="7"/>
      <c r="U98" s="7"/>
    </row>
    <row r="99" spans="16:21" s="50" customFormat="1" ht="16.5" customHeight="1" x14ac:dyDescent="0.2">
      <c r="P99"/>
      <c r="Q99" s="7"/>
      <c r="R99" s="7"/>
      <c r="S99" s="7"/>
      <c r="T99" s="7"/>
      <c r="U99" s="7"/>
    </row>
    <row r="100" spans="16:21" s="50" customFormat="1" ht="16.5" customHeight="1" x14ac:dyDescent="0.2">
      <c r="P100"/>
      <c r="Q100" s="7"/>
      <c r="R100" s="7"/>
      <c r="S100" s="7"/>
      <c r="T100" s="7"/>
      <c r="U100" s="7"/>
    </row>
    <row r="101" spans="16:21" s="50" customFormat="1" ht="16.5" customHeight="1" x14ac:dyDescent="0.2">
      <c r="P101"/>
      <c r="Q101" s="7"/>
      <c r="R101" s="7"/>
      <c r="S101" s="7"/>
      <c r="T101" s="7"/>
      <c r="U101" s="7"/>
    </row>
    <row r="102" spans="16:21" s="50" customFormat="1" ht="16.5" customHeight="1" x14ac:dyDescent="0.2">
      <c r="P102"/>
      <c r="Q102" s="7"/>
      <c r="R102" s="7"/>
      <c r="S102" s="7"/>
      <c r="T102" s="7"/>
      <c r="U102" s="7"/>
    </row>
    <row r="103" spans="16:21" s="50" customFormat="1" ht="16.5" customHeight="1" x14ac:dyDescent="0.2">
      <c r="P103"/>
      <c r="Q103" s="7"/>
      <c r="R103" s="7"/>
      <c r="S103" s="7"/>
      <c r="T103" s="7"/>
      <c r="U103" s="7"/>
    </row>
    <row r="104" spans="16:21" s="50" customFormat="1" ht="16.5" customHeight="1" x14ac:dyDescent="0.2">
      <c r="P104"/>
      <c r="Q104" s="7"/>
      <c r="R104" s="7"/>
      <c r="S104" s="7"/>
      <c r="T104" s="7"/>
      <c r="U104" s="7"/>
    </row>
    <row r="105" spans="16:21" s="50" customFormat="1" ht="16.5" customHeight="1" x14ac:dyDescent="0.2">
      <c r="P105"/>
      <c r="Q105" s="7"/>
      <c r="R105" s="7"/>
      <c r="S105" s="7"/>
      <c r="T105" s="7"/>
      <c r="U105" s="7"/>
    </row>
    <row r="106" spans="16:21" s="50" customFormat="1" ht="16.5" customHeight="1" x14ac:dyDescent="0.2">
      <c r="P106"/>
      <c r="Q106" s="7"/>
      <c r="R106" s="7"/>
      <c r="S106" s="7"/>
      <c r="T106" s="7"/>
      <c r="U106" s="7"/>
    </row>
    <row r="107" spans="16:21" s="50" customFormat="1" ht="16.5" customHeight="1" x14ac:dyDescent="0.2">
      <c r="P107"/>
      <c r="Q107" s="7"/>
      <c r="R107" s="7"/>
      <c r="S107" s="7"/>
      <c r="T107" s="7"/>
      <c r="U107" s="7"/>
    </row>
    <row r="108" spans="16:21" s="50" customFormat="1" ht="16.5" customHeight="1" x14ac:dyDescent="0.2">
      <c r="P108"/>
      <c r="Q108" s="7"/>
      <c r="R108" s="7"/>
      <c r="S108" s="7"/>
      <c r="T108" s="7"/>
      <c r="U108" s="7"/>
    </row>
    <row r="109" spans="16:21" s="50" customFormat="1" ht="16.5" customHeight="1" x14ac:dyDescent="0.2">
      <c r="P109"/>
      <c r="Q109" s="7"/>
      <c r="R109" s="7"/>
      <c r="S109" s="7"/>
      <c r="T109" s="7"/>
      <c r="U109" s="7"/>
    </row>
    <row r="110" spans="16:21" s="50" customFormat="1" ht="16.5" customHeight="1" x14ac:dyDescent="0.2">
      <c r="P110"/>
      <c r="Q110" s="7"/>
      <c r="R110" s="7"/>
      <c r="S110" s="7"/>
      <c r="T110" s="7"/>
      <c r="U110" s="7"/>
    </row>
    <row r="111" spans="16:21" s="50" customFormat="1" ht="16.5" customHeight="1" x14ac:dyDescent="0.2">
      <c r="P111"/>
      <c r="Q111" s="7"/>
      <c r="R111" s="7"/>
      <c r="S111" s="7"/>
      <c r="T111" s="7"/>
      <c r="U111" s="7"/>
    </row>
    <row r="112" spans="16:21" s="50" customFormat="1" ht="16.5" customHeight="1" x14ac:dyDescent="0.2">
      <c r="P112"/>
      <c r="Q112" s="7"/>
      <c r="R112" s="7"/>
      <c r="S112" s="7"/>
      <c r="T112" s="7"/>
      <c r="U112" s="7"/>
    </row>
    <row r="113" spans="16:21" s="50" customFormat="1" ht="16.5" customHeight="1" x14ac:dyDescent="0.2">
      <c r="P113"/>
      <c r="Q113" s="7"/>
      <c r="R113" s="7"/>
      <c r="S113" s="7"/>
      <c r="T113" s="7"/>
      <c r="U113" s="7"/>
    </row>
    <row r="114" spans="16:21" s="50" customFormat="1" ht="16.5" customHeight="1" x14ac:dyDescent="0.2">
      <c r="P114"/>
      <c r="Q114" s="7"/>
      <c r="R114" s="7"/>
      <c r="S114" s="7"/>
      <c r="T114" s="7"/>
      <c r="U114" s="7"/>
    </row>
    <row r="115" spans="16:21" s="50" customFormat="1" ht="16.5" customHeight="1" x14ac:dyDescent="0.2">
      <c r="P115"/>
      <c r="Q115" s="7"/>
      <c r="R115" s="7"/>
      <c r="S115" s="7"/>
      <c r="T115" s="7"/>
      <c r="U115" s="7"/>
    </row>
    <row r="116" spans="16:21" s="50" customFormat="1" ht="16.5" customHeight="1" x14ac:dyDescent="0.2">
      <c r="P116"/>
      <c r="Q116" s="7"/>
      <c r="R116" s="7"/>
      <c r="S116" s="7"/>
      <c r="T116" s="7"/>
      <c r="U116" s="7"/>
    </row>
    <row r="117" spans="16:21" s="50" customFormat="1" ht="16.5" customHeight="1" x14ac:dyDescent="0.2">
      <c r="P117"/>
      <c r="Q117" s="7"/>
      <c r="R117" s="7"/>
      <c r="S117" s="7"/>
      <c r="T117" s="7"/>
      <c r="U117" s="7"/>
    </row>
    <row r="118" spans="16:21" s="50" customFormat="1" ht="16.5" customHeight="1" x14ac:dyDescent="0.2">
      <c r="P118"/>
      <c r="Q118" s="7"/>
      <c r="R118" s="7"/>
      <c r="S118" s="7"/>
      <c r="T118" s="7"/>
      <c r="U118" s="7"/>
    </row>
    <row r="119" spans="16:21" s="50" customFormat="1" ht="16.5" customHeight="1" x14ac:dyDescent="0.2">
      <c r="P119"/>
      <c r="Q119" s="7"/>
      <c r="R119" s="7"/>
      <c r="S119" s="7"/>
      <c r="T119" s="7"/>
      <c r="U119" s="7"/>
    </row>
    <row r="120" spans="16:21" s="50" customFormat="1" ht="16.5" customHeight="1" x14ac:dyDescent="0.2">
      <c r="P120"/>
      <c r="Q120" s="7"/>
      <c r="R120" s="7"/>
      <c r="S120" s="7"/>
      <c r="T120" s="7"/>
      <c r="U120" s="7"/>
    </row>
    <row r="121" spans="16:21" s="50" customFormat="1" ht="16.5" customHeight="1" x14ac:dyDescent="0.2">
      <c r="P121"/>
      <c r="Q121" s="7"/>
      <c r="R121" s="7"/>
      <c r="S121" s="7"/>
      <c r="T121" s="7"/>
      <c r="U121" s="7"/>
    </row>
    <row r="122" spans="16:21" s="50" customFormat="1" ht="16.5" customHeight="1" x14ac:dyDescent="0.2">
      <c r="P122"/>
      <c r="Q122" s="7"/>
      <c r="R122" s="7"/>
      <c r="S122" s="7"/>
      <c r="T122" s="7"/>
      <c r="U122" s="7"/>
    </row>
    <row r="123" spans="16:21" s="50" customFormat="1" ht="16.5" customHeight="1" x14ac:dyDescent="0.2">
      <c r="P123"/>
      <c r="Q123" s="7"/>
      <c r="R123" s="7"/>
      <c r="S123" s="7"/>
      <c r="T123" s="7"/>
      <c r="U123" s="7"/>
    </row>
    <row r="124" spans="16:21" s="50" customFormat="1" ht="16.5" customHeight="1" x14ac:dyDescent="0.2">
      <c r="P124"/>
      <c r="Q124" s="7"/>
      <c r="R124" s="7"/>
      <c r="S124" s="7"/>
      <c r="T124" s="7"/>
      <c r="U124" s="7"/>
    </row>
    <row r="125" spans="16:21" s="50" customFormat="1" ht="16.5" customHeight="1" x14ac:dyDescent="0.2">
      <c r="P125"/>
      <c r="Q125" s="7"/>
      <c r="R125" s="7"/>
      <c r="S125" s="7"/>
      <c r="T125" s="7"/>
      <c r="U125" s="7"/>
    </row>
    <row r="126" spans="16:21" s="50" customFormat="1" ht="16.5" customHeight="1" x14ac:dyDescent="0.2">
      <c r="P126"/>
      <c r="Q126" s="7"/>
      <c r="R126" s="7"/>
      <c r="S126" s="7"/>
      <c r="T126" s="7"/>
      <c r="U126" s="7"/>
    </row>
    <row r="127" spans="16:21" s="50" customFormat="1" ht="16.5" customHeight="1" x14ac:dyDescent="0.2">
      <c r="P127"/>
      <c r="Q127" s="7"/>
      <c r="R127" s="7"/>
      <c r="S127" s="7"/>
      <c r="T127" s="7"/>
      <c r="U127" s="7"/>
    </row>
    <row r="128" spans="16:21" s="50" customFormat="1" ht="16.5" customHeight="1" x14ac:dyDescent="0.2">
      <c r="P128"/>
    </row>
    <row r="129" spans="2:16" s="50" customFormat="1" ht="16.5" customHeight="1" x14ac:dyDescent="0.2">
      <c r="P129"/>
    </row>
    <row r="130" spans="2:16" s="50" customFormat="1" ht="16.5" customHeight="1" x14ac:dyDescent="0.2">
      <c r="I130" s="41"/>
      <c r="J130" s="41"/>
      <c r="K130" s="41"/>
      <c r="P130"/>
    </row>
    <row r="131" spans="2:16" s="50" customFormat="1" ht="16.5" customHeight="1" x14ac:dyDescent="0.2">
      <c r="B131" s="8"/>
      <c r="C131" s="7"/>
      <c r="D131" s="7"/>
      <c r="E131" s="7"/>
      <c r="F131" s="7"/>
      <c r="G131" s="7"/>
      <c r="H131" s="41"/>
      <c r="I131" s="41"/>
      <c r="J131" s="41"/>
      <c r="K131" s="41"/>
      <c r="L131" s="41"/>
      <c r="M131" s="41"/>
      <c r="P131"/>
    </row>
    <row r="132" spans="2:16" s="50" customFormat="1" ht="16.5" customHeight="1" x14ac:dyDescent="0.2">
      <c r="B132" s="8"/>
      <c r="C132" s="7"/>
      <c r="D132" s="7"/>
      <c r="E132" s="7"/>
      <c r="F132" s="7"/>
      <c r="G132" s="7"/>
      <c r="H132" s="41"/>
      <c r="I132" s="41"/>
      <c r="J132" s="41"/>
      <c r="K132" s="41"/>
      <c r="L132" s="41"/>
      <c r="M132" s="41"/>
      <c r="P132"/>
    </row>
    <row r="133" spans="2:16" s="50" customFormat="1" ht="16.5" customHeight="1" x14ac:dyDescent="0.2">
      <c r="B133" s="8"/>
      <c r="C133" s="7"/>
      <c r="D133" s="7"/>
      <c r="E133" s="7"/>
      <c r="F133" s="7"/>
      <c r="G133" s="7"/>
      <c r="H133" s="41"/>
      <c r="I133" s="41"/>
      <c r="J133" s="41"/>
      <c r="K133" s="41"/>
      <c r="L133" s="41"/>
      <c r="M133" s="41"/>
      <c r="P133"/>
    </row>
    <row r="134" spans="2:16" s="50" customFormat="1" ht="16.5" customHeight="1" x14ac:dyDescent="0.2">
      <c r="B134" s="8"/>
      <c r="C134" s="7"/>
      <c r="D134" s="7"/>
      <c r="E134" s="7"/>
      <c r="F134" s="7"/>
      <c r="G134" s="7"/>
      <c r="H134" s="41"/>
      <c r="I134" s="41"/>
      <c r="J134" s="41"/>
      <c r="K134" s="41"/>
      <c r="L134" s="41"/>
      <c r="M134" s="41"/>
      <c r="P134"/>
    </row>
    <row r="135" spans="2:16" s="50" customFormat="1" ht="16.5" customHeight="1" x14ac:dyDescent="0.2">
      <c r="B135" s="8"/>
      <c r="C135" s="7"/>
      <c r="D135" s="7"/>
      <c r="E135" s="7"/>
      <c r="F135" s="7"/>
      <c r="G135" s="7"/>
      <c r="H135" s="41"/>
      <c r="I135" s="41"/>
      <c r="J135" s="41"/>
      <c r="K135" s="41"/>
      <c r="L135" s="41"/>
      <c r="M135" s="41"/>
      <c r="P135"/>
    </row>
    <row r="136" spans="2:16" s="50" customFormat="1" ht="16.5" customHeight="1" x14ac:dyDescent="0.2">
      <c r="B136" s="8"/>
      <c r="C136" s="7"/>
      <c r="D136" s="7"/>
      <c r="E136" s="7"/>
      <c r="F136" s="7"/>
      <c r="G136" s="7"/>
      <c r="H136" s="41"/>
      <c r="I136" s="41"/>
      <c r="J136" s="41"/>
      <c r="K136" s="41"/>
      <c r="L136" s="41"/>
      <c r="M136" s="41"/>
      <c r="P136"/>
    </row>
    <row r="137" spans="2:16" s="50" customFormat="1" ht="16.5" customHeight="1" x14ac:dyDescent="0.2">
      <c r="B137" s="8"/>
      <c r="C137" s="7"/>
      <c r="D137" s="7"/>
      <c r="E137" s="7"/>
      <c r="F137" s="7"/>
      <c r="G137" s="7"/>
      <c r="H137" s="41"/>
      <c r="I137" s="41"/>
      <c r="J137" s="41"/>
      <c r="K137" s="41"/>
      <c r="L137" s="41"/>
      <c r="M137" s="41"/>
      <c r="P137"/>
    </row>
    <row r="138" spans="2:16" s="50" customFormat="1" ht="16.5" customHeight="1" x14ac:dyDescent="0.2">
      <c r="B138" s="8"/>
      <c r="C138" s="7"/>
      <c r="D138" s="7"/>
      <c r="E138" s="7"/>
      <c r="F138" s="7"/>
      <c r="G138" s="7"/>
      <c r="H138" s="41"/>
      <c r="I138" s="41"/>
      <c r="J138" s="41"/>
      <c r="K138" s="41"/>
      <c r="L138" s="41"/>
      <c r="M138" s="41"/>
      <c r="P138"/>
    </row>
    <row r="139" spans="2:16" s="50" customFormat="1" ht="16.5" customHeight="1" x14ac:dyDescent="0.2">
      <c r="B139" s="8"/>
      <c r="C139" s="7"/>
      <c r="D139" s="7"/>
      <c r="E139" s="7"/>
      <c r="F139" s="7"/>
      <c r="G139" s="7"/>
      <c r="H139" s="41"/>
      <c r="I139" s="41"/>
      <c r="J139" s="41"/>
      <c r="K139" s="41"/>
      <c r="L139" s="41"/>
      <c r="M139" s="41"/>
      <c r="P139"/>
    </row>
  </sheetData>
  <sheetProtection sheet="1" objects="1" scenarios="1"/>
  <customSheetViews>
    <customSheetView guid="{32760361-675F-4FBF-A5CA-B0597C10371F}" showGridLines="0" zeroValues="0" fitToPage="1" topLeftCell="A31">
      <pageMargins left="0.5" right="0.28000000000000003" top="0.54" bottom="0.5" header="0.51181102362204722" footer="0.31496062992125984"/>
      <printOptions horizontalCentered="1"/>
      <pageSetup paperSize="9" scale="82" firstPageNumber="15" orientation="portrait" useFirstPageNumber="1" verticalDpi="360" r:id="rId1"/>
      <headerFooter alignWithMargins="0">
        <oddFooter>&amp;LLEL Schwäbisch Gmünd (Abtlg. II)
LAZBW Aulendorf&amp;C 18&amp;9
&amp;R&amp;F
&amp;A</oddFooter>
      </headerFooter>
    </customSheetView>
  </customSheetViews>
  <mergeCells count="2">
    <mergeCell ref="D1:H1"/>
    <mergeCell ref="O31:Q33"/>
  </mergeCells>
  <phoneticPr fontId="0" type="noConversion"/>
  <hyperlinks>
    <hyperlink ref="D1:H1" location="Inhalt!A1:A10" display="zurück zum Inhaltsverzeichnis"/>
  </hyperlinks>
  <printOptions horizontalCentered="1"/>
  <pageMargins left="0.5" right="0.28000000000000003" top="0.54" bottom="0.5" header="0.51181102362204722" footer="0.31496062992125984"/>
  <pageSetup paperSize="9" scale="82" firstPageNumber="15" orientation="portrait" useFirstPageNumber="1" verticalDpi="360" r:id="rId2"/>
  <headerFooter alignWithMargins="0">
    <oddFooter>&amp;LLEL Schwäbisch Gmünd (Abtlg. II)
LAZBW Aulendorf&amp;C 18&amp;9
&amp;R&amp;F
&amp;A</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rgb="FF92D050"/>
    <pageSetUpPr fitToPage="1"/>
  </sheetPr>
  <dimension ref="A1:AS82"/>
  <sheetViews>
    <sheetView showGridLines="0" showZeros="0" workbookViewId="0">
      <pane xSplit="12" ySplit="5" topLeftCell="M33"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1102</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44" t="s">
        <v>678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Grünfutter</v>
      </c>
      <c r="N5" s="2699" t="str">
        <f>VLOOKUP(W$5,$S$4:$T$13,2)</f>
        <v>Grünfutter</v>
      </c>
      <c r="O5" s="2699" t="str">
        <f>VLOOKUP(X$5,$S$4:$T$13,2)</f>
        <v>Grünfutter</v>
      </c>
      <c r="P5" s="2699">
        <f>VLOOKUP(Y$5,$S$4:$T$13,2)</f>
        <v>0</v>
      </c>
      <c r="Q5" s="2700">
        <f>VLOOKUP(Z$5,$S$4:$T$13,2)</f>
        <v>0</v>
      </c>
      <c r="R5" s="470"/>
      <c r="S5" s="2642">
        <v>2</v>
      </c>
      <c r="T5" s="2672" t="str">
        <f>Energ.!G$57</f>
        <v>Umtriebsweide</v>
      </c>
      <c r="U5" s="2643"/>
      <c r="V5" s="2639">
        <v>4</v>
      </c>
      <c r="W5" s="2118">
        <v>4</v>
      </c>
      <c r="X5" s="2118">
        <v>4</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17.999999999999996</v>
      </c>
      <c r="L10" s="1224"/>
      <c r="M10" s="2652">
        <f>HLOOKUP(V$5,Energ.!$F$58:$N$66,Energ.!$A62)*100</f>
        <v>18</v>
      </c>
      <c r="N10" s="2653">
        <f>HLOOKUP(W$5,Energ.!$F$58:$N$66,Energ.!$A62)*100</f>
        <v>18</v>
      </c>
      <c r="O10" s="2658">
        <f>HLOOKUP(X$5,Energ.!$F$58:$N$66,Energ.!$A62)*100</f>
        <v>18</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17.999999999999996</v>
      </c>
      <c r="L11" s="1228"/>
      <c r="M11" s="2649">
        <f>HLOOKUP(V$5,Energ.!$F$58:$N$66,Energ.!$A63)*100</f>
        <v>18</v>
      </c>
      <c r="N11" s="2650">
        <f>HLOOKUP(W$5,Energ.!$F$58:$N$66,Energ.!$A63)*100</f>
        <v>18</v>
      </c>
      <c r="O11" s="2650">
        <f>HLOOKUP(X$5,Energ.!$F$58:$N$66,Energ.!$A63)*100</f>
        <v>18</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3.2000000000000011</v>
      </c>
      <c r="L12" s="1224"/>
      <c r="M12" s="2655">
        <f>HLOOKUP(V$5,Energ.!$F$58:$N$66,Energ.!$A64)</f>
        <v>3.2</v>
      </c>
      <c r="N12" s="2656">
        <f>HLOOKUP(W$5,Energ.!$F$58:$N$66,Energ.!$A64)</f>
        <v>3.2</v>
      </c>
      <c r="O12" s="2656">
        <f>HLOOKUP(X$5,Energ.!$F$58:$N$66,Energ.!$A64)</f>
        <v>3.2</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0.57600000000000018</v>
      </c>
      <c r="L13" s="1231"/>
      <c r="M13" s="517">
        <f>M12*M11/100</f>
        <v>0.57600000000000007</v>
      </c>
      <c r="N13" s="518">
        <f>N12*N11/100</f>
        <v>0.57600000000000007</v>
      </c>
      <c r="O13" s="518">
        <f>O12*O11/100</f>
        <v>0.57600000000000007</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61.750000000000007</v>
      </c>
      <c r="L14" s="1233"/>
      <c r="M14" s="865">
        <f>M6*(100-M8)/100</f>
        <v>27.787500000000001</v>
      </c>
      <c r="N14" s="866">
        <f>N6*(100-N8)/100</f>
        <v>21.612500000000001</v>
      </c>
      <c r="O14" s="866">
        <f>O6*(100-O8)/100</f>
        <v>12.35</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343.05555555555554</v>
      </c>
      <c r="L15" s="1233"/>
      <c r="M15" s="865">
        <f>IF(M10=0,0,M14/M10*100)</f>
        <v>154.37500000000003</v>
      </c>
      <c r="N15" s="866">
        <f>IF(N10=0,0,N14/N10*100)</f>
        <v>120.06944444444446</v>
      </c>
      <c r="O15" s="866">
        <f>IF(O10=0,0,O14/O10*100)</f>
        <v>68.611111111111114</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107.20486111111111</v>
      </c>
      <c r="L16" s="3348"/>
      <c r="M16" s="1793">
        <f>IF(V5&lt;4,0,IF(M12=0,0,M15/M12))</f>
        <v>48.242187500000007</v>
      </c>
      <c r="N16" s="1794">
        <f>IF(W5&lt;4,0,IF(N12=0,0,N15/N12))</f>
        <v>37.521701388888893</v>
      </c>
      <c r="O16" s="1794">
        <f>IF(X5&lt;4,0,IF(O12=0,0,O15/O12))</f>
        <v>21.440972222222221</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61.750000000000007</v>
      </c>
      <c r="L17" s="1235"/>
      <c r="M17" s="865">
        <f>M14*(100-M9)/100</f>
        <v>27.787500000000001</v>
      </c>
      <c r="N17" s="870">
        <f>N14*(100-N9)/100</f>
        <v>21.612500000000001</v>
      </c>
      <c r="O17" s="870">
        <f>O14*(100-O9)/100</f>
        <v>12.35</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343.05555555555554</v>
      </c>
      <c r="L18" s="1235"/>
      <c r="M18" s="865">
        <f>IF(M11=0,0,M17/M11*100)</f>
        <v>154.37500000000003</v>
      </c>
      <c r="N18" s="870">
        <f>IF(N11=0,0,N17/N11*100)</f>
        <v>120.06944444444446</v>
      </c>
      <c r="O18" s="870">
        <f>IF(O11=0,0,O17/O11*100)</f>
        <v>68.611111111111114</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6.05</v>
      </c>
      <c r="L20" s="1238"/>
      <c r="M20" s="254">
        <v>6.2</v>
      </c>
      <c r="N20" s="255">
        <v>6</v>
      </c>
      <c r="O20" s="255">
        <v>5.8</v>
      </c>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10.083333333333332</v>
      </c>
      <c r="L21" s="1238"/>
      <c r="M21" s="428">
        <f>IF($G21=0,0,M20/$G21)</f>
        <v>10.333333333333334</v>
      </c>
      <c r="N21" s="429">
        <f>IF($G21=0,0,N20/$G21)</f>
        <v>10</v>
      </c>
      <c r="O21" s="429">
        <f>IF($G21=0,0,O20/$G21)</f>
        <v>9.6666666666666661</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3735.875</v>
      </c>
      <c r="L22" s="1240"/>
      <c r="M22" s="385">
        <f t="shared" ref="M22:Q23" si="0">M$17*M20*10</f>
        <v>1722.8250000000003</v>
      </c>
      <c r="N22" s="387">
        <f t="shared" si="0"/>
        <v>1296.75</v>
      </c>
      <c r="O22" s="387">
        <f t="shared" si="0"/>
        <v>716.3</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6226.458333333333</v>
      </c>
      <c r="L23" s="1242"/>
      <c r="M23" s="386">
        <f t="shared" si="0"/>
        <v>2871.3750000000005</v>
      </c>
      <c r="N23" s="388">
        <f t="shared" si="0"/>
        <v>2161.25</v>
      </c>
      <c r="O23" s="388">
        <f t="shared" si="0"/>
        <v>1193.8333333333333</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693.40770450000002</v>
      </c>
      <c r="M34" s="894">
        <f>$L34*M$7/100</f>
        <v>312.03346702500005</v>
      </c>
      <c r="N34" s="895">
        <f>$L34*N$7/100</f>
        <v>242.69269657500001</v>
      </c>
      <c r="O34" s="895">
        <f>$L34*O$7/100</f>
        <v>138.68154089999999</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2.38</v>
      </c>
      <c r="I36" s="112">
        <v>-45</v>
      </c>
      <c r="J36" s="913"/>
      <c r="K36" s="1255">
        <f>H36*$K$14+I36</f>
        <v>101.965</v>
      </c>
      <c r="L36" s="1256">
        <f>K36*$F36</f>
        <v>364.01504999999997</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0.71</v>
      </c>
      <c r="I37" s="112"/>
      <c r="J37" s="913"/>
      <c r="K37" s="1255">
        <f>H37*$K$14+I37</f>
        <v>43.842500000000001</v>
      </c>
      <c r="L37" s="1256">
        <f>K37*$F37</f>
        <v>113.73621350000002</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2.89</v>
      </c>
      <c r="I38" s="112"/>
      <c r="J38" s="913"/>
      <c r="K38" s="1255">
        <f>H38*$K$14+I38</f>
        <v>178.45750000000004</v>
      </c>
      <c r="L38" s="1256">
        <f>K38*$F38</f>
        <v>165.64425150000005</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0.41</v>
      </c>
      <c r="I39" s="115"/>
      <c r="J39" s="920"/>
      <c r="K39" s="1257">
        <f>H39*$K$14+I39</f>
        <v>25.317500000000003</v>
      </c>
      <c r="L39" s="1258">
        <f>K39*$F39</f>
        <v>50.012189499999998</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177.94313136057602</v>
      </c>
      <c r="M43" s="931">
        <f>SUM(Z46:Z56)</f>
        <v>65.225268029391998</v>
      </c>
      <c r="N43" s="931">
        <f>SUM(AA46:AA56)</f>
        <v>59.314377120192006</v>
      </c>
      <c r="O43" s="931">
        <f>SUM(AB46:AB56)</f>
        <v>53.403486210992007</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T56" si="3">IF(M46&lt;&gt;0,M46*$H46,0)</f>
        <v>0.2838</v>
      </c>
      <c r="U46" s="407">
        <f t="shared" ref="U46:U56" si="4">IF(N46&lt;&gt;0,N46*$H46,0)</f>
        <v>0.2838</v>
      </c>
      <c r="V46" s="407">
        <f t="shared" ref="V46:V56" si="5">IF(O46&lt;&gt;0,O46*$H46,0)</f>
        <v>0.2838</v>
      </c>
      <c r="W46" s="407">
        <f t="shared" ref="W46:W56" si="6">IF(P46&lt;&gt;0,P46*$H46,0)</f>
        <v>0</v>
      </c>
      <c r="X46" s="408">
        <f t="shared" ref="X46:X56" si="7">IF(Q46&lt;&gt;0,Q46*$H46,0)</f>
        <v>0</v>
      </c>
      <c r="Y46" s="434"/>
      <c r="Z46" s="406">
        <f t="shared" ref="Z46:Z56" si="8">IF(M46&lt;&gt;0,M46*$I46,0)</f>
        <v>3.4240471663199989</v>
      </c>
      <c r="AA46" s="407">
        <f t="shared" ref="AA46:AA56" si="9">IF(N46&lt;&gt;0,N46*$I46,0)</f>
        <v>3.4240471663199989</v>
      </c>
      <c r="AB46" s="407">
        <f t="shared" ref="AB46:AB56" si="10">IF(O46&lt;&gt;0,O46*$I46,0)</f>
        <v>3.4240471663199989</v>
      </c>
      <c r="AC46" s="407">
        <f t="shared" ref="AC46:AC56" si="11">IF(P46&lt;&gt;0,P46*$I46,0)</f>
        <v>0</v>
      </c>
      <c r="AD46" s="408">
        <f t="shared" ref="AD46:AD56" si="12">IF(Q46&lt;&gt;0,Q46*$I46,0)</f>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13">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4"/>
        <v>0.15840000000000001</v>
      </c>
      <c r="V47" s="407">
        <f t="shared" si="5"/>
        <v>0.15840000000000001</v>
      </c>
      <c r="W47" s="407">
        <f t="shared" si="6"/>
        <v>0</v>
      </c>
      <c r="X47" s="408">
        <f t="shared" si="7"/>
        <v>0</v>
      </c>
      <c r="Y47" s="434"/>
      <c r="Z47" s="406">
        <f t="shared" si="8"/>
        <v>2.6923117710720006</v>
      </c>
      <c r="AA47" s="407">
        <f t="shared" si="9"/>
        <v>2.6923117710720006</v>
      </c>
      <c r="AB47" s="407">
        <f t="shared" si="10"/>
        <v>2.6923117710720006</v>
      </c>
      <c r="AC47" s="407">
        <f t="shared" si="11"/>
        <v>0</v>
      </c>
      <c r="AD47" s="408">
        <f t="shared" si="12"/>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13"/>
        <v>0</v>
      </c>
      <c r="K48" s="1266">
        <f t="shared" si="1"/>
        <v>0</v>
      </c>
      <c r="L48" s="1256">
        <f t="shared" si="2"/>
        <v>0</v>
      </c>
      <c r="M48" s="259"/>
      <c r="N48" s="260"/>
      <c r="O48" s="260"/>
      <c r="P48" s="260"/>
      <c r="Q48" s="261"/>
      <c r="R48" s="449"/>
      <c r="S48" s="449"/>
      <c r="T48" s="406">
        <f t="shared" si="3"/>
        <v>0</v>
      </c>
      <c r="U48" s="407">
        <f t="shared" si="4"/>
        <v>0</v>
      </c>
      <c r="V48" s="407">
        <f t="shared" si="5"/>
        <v>0</v>
      </c>
      <c r="W48" s="407">
        <f t="shared" si="6"/>
        <v>0</v>
      </c>
      <c r="X48" s="408">
        <f t="shared" si="7"/>
        <v>0</v>
      </c>
      <c r="Y48" s="434"/>
      <c r="Z48" s="406">
        <f t="shared" si="8"/>
        <v>0</v>
      </c>
      <c r="AA48" s="407">
        <f t="shared" si="9"/>
        <v>0</v>
      </c>
      <c r="AB48" s="407">
        <f t="shared" si="10"/>
        <v>0</v>
      </c>
      <c r="AC48" s="407">
        <f t="shared" si="11"/>
        <v>0</v>
      </c>
      <c r="AD48" s="408">
        <f t="shared" si="12"/>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13"/>
        <v>0</v>
      </c>
      <c r="K49" s="1266">
        <f t="shared" si="1"/>
        <v>0</v>
      </c>
      <c r="L49" s="1256">
        <f t="shared" si="2"/>
        <v>0</v>
      </c>
      <c r="M49" s="259"/>
      <c r="N49" s="260"/>
      <c r="O49" s="260"/>
      <c r="P49" s="260"/>
      <c r="Q49" s="261"/>
      <c r="R49" s="449"/>
      <c r="S49" s="449"/>
      <c r="T49" s="406">
        <f t="shared" si="3"/>
        <v>0</v>
      </c>
      <c r="U49" s="407">
        <f t="shared" si="4"/>
        <v>0</v>
      </c>
      <c r="V49" s="407">
        <f t="shared" si="5"/>
        <v>0</v>
      </c>
      <c r="W49" s="407">
        <f t="shared" si="6"/>
        <v>0</v>
      </c>
      <c r="X49" s="408">
        <f t="shared" si="7"/>
        <v>0</v>
      </c>
      <c r="Y49" s="434"/>
      <c r="Z49" s="406">
        <f t="shared" si="8"/>
        <v>0</v>
      </c>
      <c r="AA49" s="407">
        <f t="shared" si="9"/>
        <v>0</v>
      </c>
      <c r="AB49" s="407">
        <f t="shared" si="10"/>
        <v>0</v>
      </c>
      <c r="AC49" s="407">
        <f t="shared" si="11"/>
        <v>0</v>
      </c>
      <c r="AD49" s="408">
        <f t="shared" si="12"/>
        <v>0</v>
      </c>
      <c r="AE49" s="434"/>
      <c r="AF49" s="434"/>
      <c r="AG49" s="434"/>
      <c r="AH49" s="434"/>
      <c r="AI49" s="434"/>
      <c r="AJ49" s="434"/>
      <c r="AK49" s="434"/>
      <c r="AL49" s="434"/>
      <c r="AM49" s="434"/>
    </row>
    <row r="50" spans="1:39" s="436" customFormat="1" ht="14.95" customHeight="1" x14ac:dyDescent="0.2">
      <c r="A50" s="887" t="s">
        <v>282</v>
      </c>
      <c r="B50" s="1415">
        <v>29</v>
      </c>
      <c r="C50" s="103"/>
      <c r="D50" s="132"/>
      <c r="E50" s="438"/>
      <c r="F50" s="438"/>
      <c r="G50" s="399">
        <f>IF($B50=0,0,VLOOKUP($B50,Arbeitsgänge!$B$26:$M$78,6))</f>
        <v>67</v>
      </c>
      <c r="H50" s="424">
        <f>IF($B50=0,0,VLOOKUP($B50,Arbeitsgänge!$B$26:$O$78,11))</f>
        <v>3.07</v>
      </c>
      <c r="I50" s="400">
        <f>IF($B50=0,0,VLOOKUP($B50,Arbeitsgänge!$B$26:$T$79,12))</f>
        <v>59.108909092000005</v>
      </c>
      <c r="J50" s="493">
        <f t="shared" si="13"/>
        <v>2.7</v>
      </c>
      <c r="K50" s="1266">
        <f t="shared" si="1"/>
        <v>8.2889999999999997</v>
      </c>
      <c r="L50" s="1256">
        <f t="shared" si="2"/>
        <v>159.59405454840001</v>
      </c>
      <c r="M50" s="259">
        <v>1</v>
      </c>
      <c r="N50" s="260">
        <v>0.9</v>
      </c>
      <c r="O50" s="260">
        <v>0.8</v>
      </c>
      <c r="P50" s="260"/>
      <c r="Q50" s="261"/>
      <c r="R50" s="449"/>
      <c r="S50" s="449"/>
      <c r="T50" s="406">
        <f t="shared" si="3"/>
        <v>3.07</v>
      </c>
      <c r="U50" s="407">
        <f t="shared" si="4"/>
        <v>2.7629999999999999</v>
      </c>
      <c r="V50" s="407">
        <f t="shared" si="5"/>
        <v>2.456</v>
      </c>
      <c r="W50" s="407">
        <f t="shared" si="6"/>
        <v>0</v>
      </c>
      <c r="X50" s="408">
        <f t="shared" si="7"/>
        <v>0</v>
      </c>
      <c r="Y50" s="434"/>
      <c r="Z50" s="406">
        <f t="shared" si="8"/>
        <v>59.108909092000005</v>
      </c>
      <c r="AA50" s="407">
        <f t="shared" si="9"/>
        <v>53.198018182800006</v>
      </c>
      <c r="AB50" s="407">
        <f t="shared" si="10"/>
        <v>47.287127273600007</v>
      </c>
      <c r="AC50" s="407">
        <f t="shared" si="11"/>
        <v>0</v>
      </c>
      <c r="AD50" s="408">
        <f t="shared" si="12"/>
        <v>0</v>
      </c>
      <c r="AE50" s="434"/>
      <c r="AF50" s="434"/>
      <c r="AG50" s="434"/>
      <c r="AH50" s="434"/>
      <c r="AI50" s="434"/>
      <c r="AJ50" s="434"/>
      <c r="AK50" s="434"/>
      <c r="AL50" s="434"/>
      <c r="AM50" s="434"/>
    </row>
    <row r="51" spans="1:39" s="436" customFormat="1" ht="14.95" customHeight="1" x14ac:dyDescent="0.2">
      <c r="A51" s="887" t="s">
        <v>282</v>
      </c>
      <c r="B51" s="1415">
        <v>22</v>
      </c>
      <c r="C51" s="103"/>
      <c r="D51" s="132"/>
      <c r="E51" s="438"/>
      <c r="F51" s="438"/>
      <c r="G51" s="399">
        <f>IF($B51=0,0,VLOOKUP($B51,Arbeitsgänge!$B$26:$M$78,6))</f>
        <v>0</v>
      </c>
      <c r="H51" s="424">
        <f>IF($B51=0,0,VLOOKUP($B51,Arbeitsgänge!$B$26:$O$78,11))</f>
        <v>10</v>
      </c>
      <c r="I51" s="400">
        <f>IF($B51=0,0,VLOOKUP($B51,Arbeitsgänge!$B$26:$T$79,12))</f>
        <v>0</v>
      </c>
      <c r="J51" s="493">
        <f t="shared" si="13"/>
        <v>0</v>
      </c>
      <c r="K51" s="1266">
        <f t="shared" si="1"/>
        <v>0</v>
      </c>
      <c r="L51" s="1256">
        <f t="shared" si="2"/>
        <v>0</v>
      </c>
      <c r="M51" s="259"/>
      <c r="N51" s="260"/>
      <c r="O51" s="260"/>
      <c r="P51" s="260"/>
      <c r="Q51" s="261"/>
      <c r="R51" s="449"/>
      <c r="S51" s="449"/>
      <c r="T51" s="406">
        <f t="shared" si="3"/>
        <v>0</v>
      </c>
      <c r="U51" s="407">
        <f t="shared" si="4"/>
        <v>0</v>
      </c>
      <c r="V51" s="407">
        <f t="shared" si="5"/>
        <v>0</v>
      </c>
      <c r="W51" s="407">
        <f t="shared" si="6"/>
        <v>0</v>
      </c>
      <c r="X51" s="408">
        <f t="shared" si="7"/>
        <v>0</v>
      </c>
      <c r="Y51" s="434"/>
      <c r="Z51" s="406">
        <f t="shared" si="8"/>
        <v>0</v>
      </c>
      <c r="AA51" s="407">
        <f t="shared" si="9"/>
        <v>0</v>
      </c>
      <c r="AB51" s="407">
        <f t="shared" si="10"/>
        <v>0</v>
      </c>
      <c r="AC51" s="407">
        <f t="shared" si="11"/>
        <v>0</v>
      </c>
      <c r="AD51" s="408">
        <f t="shared" si="12"/>
        <v>0</v>
      </c>
      <c r="AE51" s="434"/>
      <c r="AF51" s="434"/>
      <c r="AG51" s="434"/>
      <c r="AH51" s="434"/>
      <c r="AI51" s="434"/>
      <c r="AJ51" s="434"/>
      <c r="AK51" s="434"/>
      <c r="AL51" s="434"/>
      <c r="AM51" s="434"/>
    </row>
    <row r="52" spans="1:39" s="436" customFormat="1" ht="14.95" customHeight="1" x14ac:dyDescent="0.2">
      <c r="A52" s="887" t="s">
        <v>282</v>
      </c>
      <c r="B52" s="1415">
        <v>22</v>
      </c>
      <c r="C52" s="103"/>
      <c r="D52" s="132"/>
      <c r="E52" s="438"/>
      <c r="F52" s="438"/>
      <c r="G52" s="399">
        <f>IF($B52=0,0,VLOOKUP($B52,Arbeitsgänge!$B$26:$M$78,6))</f>
        <v>0</v>
      </c>
      <c r="H52" s="424">
        <f>IF($B52=0,0,VLOOKUP($B52,Arbeitsgänge!$B$26:$O$78,11))</f>
        <v>10</v>
      </c>
      <c r="I52" s="400">
        <f>IF($B52=0,0,VLOOKUP($B52,Arbeitsgänge!$B$26:$T$79,12))</f>
        <v>0</v>
      </c>
      <c r="J52" s="493">
        <f t="shared" si="13"/>
        <v>0</v>
      </c>
      <c r="K52" s="1266"/>
      <c r="L52" s="1256"/>
      <c r="M52" s="259"/>
      <c r="N52" s="260"/>
      <c r="O52" s="260"/>
      <c r="P52" s="260"/>
      <c r="Q52" s="261"/>
      <c r="R52" s="449"/>
      <c r="S52" s="449"/>
      <c r="T52" s="406">
        <f t="shared" si="3"/>
        <v>0</v>
      </c>
      <c r="U52" s="407">
        <f t="shared" si="4"/>
        <v>0</v>
      </c>
      <c r="V52" s="407">
        <f t="shared" si="5"/>
        <v>0</v>
      </c>
      <c r="W52" s="407">
        <f t="shared" si="6"/>
        <v>0</v>
      </c>
      <c r="X52" s="408">
        <f t="shared" si="7"/>
        <v>0</v>
      </c>
      <c r="Y52" s="434"/>
      <c r="Z52" s="406">
        <f t="shared" si="8"/>
        <v>0</v>
      </c>
      <c r="AA52" s="407">
        <f t="shared" si="9"/>
        <v>0</v>
      </c>
      <c r="AB52" s="407">
        <f t="shared" si="10"/>
        <v>0</v>
      </c>
      <c r="AC52" s="407">
        <f t="shared" si="11"/>
        <v>0</v>
      </c>
      <c r="AD52" s="408">
        <f t="shared" si="12"/>
        <v>0</v>
      </c>
      <c r="AE52" s="434"/>
      <c r="AF52" s="434"/>
      <c r="AG52" s="434"/>
      <c r="AH52" s="434"/>
      <c r="AI52" s="434"/>
      <c r="AJ52" s="434"/>
      <c r="AK52" s="434"/>
      <c r="AL52" s="434"/>
      <c r="AM52" s="434"/>
    </row>
    <row r="53" spans="1:39" s="436" customFormat="1" ht="14.9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13"/>
        <v>0</v>
      </c>
      <c r="K53" s="1266">
        <f t="shared" si="1"/>
        <v>0</v>
      </c>
      <c r="L53" s="1256">
        <f t="shared" si="2"/>
        <v>0</v>
      </c>
      <c r="M53" s="259"/>
      <c r="N53" s="260"/>
      <c r="O53" s="260"/>
      <c r="P53" s="260"/>
      <c r="Q53" s="261"/>
      <c r="R53" s="449"/>
      <c r="S53" s="449"/>
      <c r="T53" s="406">
        <f t="shared" si="3"/>
        <v>0</v>
      </c>
      <c r="U53" s="407">
        <f t="shared" si="4"/>
        <v>0</v>
      </c>
      <c r="V53" s="407">
        <f t="shared" si="5"/>
        <v>0</v>
      </c>
      <c r="W53" s="407">
        <f t="shared" si="6"/>
        <v>0</v>
      </c>
      <c r="X53" s="408">
        <f t="shared" si="7"/>
        <v>0</v>
      </c>
      <c r="Y53" s="434"/>
      <c r="Z53" s="406">
        <f t="shared" si="8"/>
        <v>0</v>
      </c>
      <c r="AA53" s="407">
        <f t="shared" si="9"/>
        <v>0</v>
      </c>
      <c r="AB53" s="407">
        <f t="shared" si="10"/>
        <v>0</v>
      </c>
      <c r="AC53" s="407">
        <f t="shared" si="11"/>
        <v>0</v>
      </c>
      <c r="AD53" s="408">
        <f t="shared" si="12"/>
        <v>0</v>
      </c>
      <c r="AE53" s="434"/>
      <c r="AF53" s="434"/>
      <c r="AG53" s="434"/>
      <c r="AH53" s="434"/>
      <c r="AI53" s="434"/>
      <c r="AJ53" s="434"/>
      <c r="AK53" s="434"/>
      <c r="AL53" s="434"/>
      <c r="AM53" s="434"/>
    </row>
    <row r="54" spans="1:39" s="436" customFormat="1" ht="14.95" customHeight="1" x14ac:dyDescent="0.2">
      <c r="A54" s="887" t="s">
        <v>282</v>
      </c>
      <c r="B54" s="1415">
        <v>49</v>
      </c>
      <c r="C54" s="103"/>
      <c r="D54" s="132"/>
      <c r="E54" s="438"/>
      <c r="F54" s="438"/>
      <c r="G54" s="399">
        <f>IF($B54=0,0,VLOOKUP($B54,Arbeitsgänge!$B$26:$M$78,6))</f>
        <v>0</v>
      </c>
      <c r="H54" s="424">
        <f>IF($B54=0,0,VLOOKUP($B54,Arbeitsgänge!$B$26:$O$78,11))</f>
        <v>0</v>
      </c>
      <c r="I54" s="400">
        <f>IF($B54=0,0,VLOOKUP($B54,Arbeitsgänge!$B$26:$T$79,12))</f>
        <v>0</v>
      </c>
      <c r="J54" s="493">
        <f t="shared" si="13"/>
        <v>0</v>
      </c>
      <c r="K54" s="1266">
        <f t="shared" si="1"/>
        <v>0</v>
      </c>
      <c r="L54" s="1256">
        <f t="shared" si="2"/>
        <v>0</v>
      </c>
      <c r="M54" s="259"/>
      <c r="N54" s="260"/>
      <c r="O54" s="260"/>
      <c r="P54" s="260"/>
      <c r="Q54" s="261"/>
      <c r="R54" s="449"/>
      <c r="S54" s="449"/>
      <c r="T54" s="406">
        <f t="shared" si="3"/>
        <v>0</v>
      </c>
      <c r="U54" s="407">
        <f t="shared" si="4"/>
        <v>0</v>
      </c>
      <c r="V54" s="407">
        <f t="shared" si="5"/>
        <v>0</v>
      </c>
      <c r="W54" s="407">
        <f t="shared" si="6"/>
        <v>0</v>
      </c>
      <c r="X54" s="408">
        <f t="shared" si="7"/>
        <v>0</v>
      </c>
      <c r="Y54" s="434"/>
      <c r="Z54" s="406">
        <f t="shared" si="8"/>
        <v>0</v>
      </c>
      <c r="AA54" s="407">
        <f t="shared" si="9"/>
        <v>0</v>
      </c>
      <c r="AB54" s="407">
        <f t="shared" si="10"/>
        <v>0</v>
      </c>
      <c r="AC54" s="407">
        <f t="shared" si="11"/>
        <v>0</v>
      </c>
      <c r="AD54" s="408">
        <f t="shared" si="12"/>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13"/>
        <v>0</v>
      </c>
      <c r="K55" s="1266">
        <f t="shared" si="1"/>
        <v>0</v>
      </c>
      <c r="L55" s="1256">
        <f t="shared" si="2"/>
        <v>0</v>
      </c>
      <c r="M55" s="259"/>
      <c r="N55" s="260"/>
      <c r="O55" s="260"/>
      <c r="P55" s="260"/>
      <c r="Q55" s="261"/>
      <c r="R55"/>
      <c r="S55" s="449"/>
      <c r="T55" s="406">
        <f t="shared" si="3"/>
        <v>0</v>
      </c>
      <c r="U55" s="407">
        <f t="shared" si="4"/>
        <v>0</v>
      </c>
      <c r="V55" s="407">
        <f t="shared" si="5"/>
        <v>0</v>
      </c>
      <c r="W55" s="407">
        <f t="shared" si="6"/>
        <v>0</v>
      </c>
      <c r="X55" s="408">
        <f t="shared" si="7"/>
        <v>0</v>
      </c>
      <c r="Y55" s="434"/>
      <c r="Z55" s="406">
        <f t="shared" si="8"/>
        <v>0</v>
      </c>
      <c r="AA55" s="407">
        <f t="shared" si="9"/>
        <v>0</v>
      </c>
      <c r="AB55" s="407">
        <f t="shared" si="10"/>
        <v>0</v>
      </c>
      <c r="AC55" s="407">
        <f t="shared" si="11"/>
        <v>0</v>
      </c>
      <c r="AD55" s="408">
        <f t="shared" si="12"/>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13"/>
        <v>0</v>
      </c>
      <c r="K56" s="1267">
        <f t="shared" si="1"/>
        <v>0</v>
      </c>
      <c r="L56" s="1268">
        <f t="shared" si="2"/>
        <v>0</v>
      </c>
      <c r="M56" s="262"/>
      <c r="N56" s="263"/>
      <c r="O56" s="263"/>
      <c r="P56" s="263"/>
      <c r="Q56" s="264"/>
      <c r="R56" s="449"/>
      <c r="S56" s="449"/>
      <c r="T56" s="409">
        <f t="shared" si="3"/>
        <v>0</v>
      </c>
      <c r="U56" s="410">
        <f t="shared" si="4"/>
        <v>0</v>
      </c>
      <c r="V56" s="410">
        <f t="shared" si="5"/>
        <v>0</v>
      </c>
      <c r="W56" s="410">
        <f t="shared" si="6"/>
        <v>0</v>
      </c>
      <c r="X56" s="411">
        <f t="shared" si="7"/>
        <v>0</v>
      </c>
      <c r="Y56" s="434"/>
      <c r="Z56" s="409">
        <f t="shared" si="8"/>
        <v>0</v>
      </c>
      <c r="AA56" s="410">
        <f t="shared" si="9"/>
        <v>0</v>
      </c>
      <c r="AB56" s="410">
        <f t="shared" si="10"/>
        <v>0</v>
      </c>
      <c r="AC56" s="410">
        <f t="shared" si="11"/>
        <v>0</v>
      </c>
      <c r="AD56" s="411">
        <f t="shared" si="12"/>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9.6156000000000006</v>
      </c>
      <c r="L57" s="1270"/>
      <c r="M57" s="944">
        <f>SUM(T46:T56)</f>
        <v>3.5122</v>
      </c>
      <c r="N57" s="945">
        <f>SUM(U46:U56)</f>
        <v>3.2052</v>
      </c>
      <c r="O57" s="945">
        <f>SUM(V46:V56)</f>
        <v>2.8982000000000001</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50</v>
      </c>
      <c r="H58" s="800" t="s">
        <v>487</v>
      </c>
      <c r="I58" s="800"/>
      <c r="J58" s="950"/>
      <c r="K58" s="1271">
        <f>SUM(M58:Q58)</f>
        <v>14.423400000000001</v>
      </c>
      <c r="L58" s="1272"/>
      <c r="M58" s="951">
        <f>M57+M57*$G$58/100</f>
        <v>5.2683</v>
      </c>
      <c r="N58" s="952">
        <f>N57+N57*$G$58/100</f>
        <v>4.8078000000000003</v>
      </c>
      <c r="O58" s="952">
        <f>O57+O57*$G$58/100</f>
        <v>4.3473000000000006</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14">IF(N61&lt;&gt;0,N61*$H61,0)</f>
        <v>0</v>
      </c>
      <c r="V61" s="494">
        <f t="shared" si="14"/>
        <v>0</v>
      </c>
      <c r="W61" s="494">
        <f t="shared" si="14"/>
        <v>0</v>
      </c>
      <c r="X61" s="494">
        <f t="shared" si="14"/>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120"/>
      <c r="E62" s="2078"/>
      <c r="F62" s="2078"/>
      <c r="G62" s="2243"/>
      <c r="H62" s="755"/>
      <c r="I62" s="756"/>
      <c r="J62" s="2070"/>
      <c r="K62" s="1718"/>
      <c r="L62" s="1284">
        <f>J62*H62</f>
        <v>0</v>
      </c>
      <c r="M62" s="2244"/>
      <c r="N62" s="2245"/>
      <c r="O62" s="2245"/>
      <c r="P62" s="2245"/>
      <c r="Q62" s="2246"/>
      <c r="R62" s="449"/>
      <c r="S62" s="449"/>
      <c r="T62" s="494">
        <f>IF(M62&lt;&gt;0,M62*$H62,0)</f>
        <v>0</v>
      </c>
      <c r="U62" s="494">
        <f t="shared" si="14"/>
        <v>0</v>
      </c>
      <c r="V62" s="494">
        <f t="shared" si="14"/>
        <v>0</v>
      </c>
      <c r="W62" s="494">
        <f t="shared" si="14"/>
        <v>0</v>
      </c>
      <c r="X62" s="494">
        <f t="shared" si="14"/>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14"/>
        <v>0</v>
      </c>
      <c r="V63" s="494">
        <f t="shared" si="14"/>
        <v>0</v>
      </c>
      <c r="W63" s="494">
        <f t="shared" si="14"/>
        <v>0</v>
      </c>
      <c r="X63" s="494">
        <f t="shared" si="14"/>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142"/>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0.17999999999999997</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15">SUM(L69:L70)</f>
        <v>0</v>
      </c>
      <c r="M67" s="886">
        <f t="shared" si="15"/>
        <v>0</v>
      </c>
      <c r="N67" s="870">
        <f t="shared" si="15"/>
        <v>0</v>
      </c>
      <c r="O67" s="870">
        <f t="shared" si="15"/>
        <v>0</v>
      </c>
      <c r="P67" s="870">
        <f t="shared" si="15"/>
        <v>0</v>
      </c>
      <c r="Q67" s="871">
        <f t="shared" si="15"/>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6">K16</f>
        <v>107.20486111111111</v>
      </c>
      <c r="L77" s="2121">
        <f t="shared" si="16"/>
        <v>0</v>
      </c>
      <c r="M77" s="2121">
        <f t="shared" si="16"/>
        <v>48.242187500000007</v>
      </c>
      <c r="N77" s="2121">
        <f t="shared" si="16"/>
        <v>37.521701388888893</v>
      </c>
      <c r="O77" s="2121">
        <f t="shared" si="16"/>
        <v>21.440972222222221</v>
      </c>
      <c r="P77" s="2121">
        <f t="shared" si="16"/>
        <v>0</v>
      </c>
      <c r="Q77" s="2121">
        <f t="shared" si="16"/>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L72" sqref="L72"/>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H3:Q3"/>
    <mergeCell ref="K16:L16"/>
    <mergeCell ref="R2:V2"/>
  </mergeCells>
  <phoneticPr fontId="0" type="noConversion"/>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121" r:id="rId5" name="Drop Down 1">
              <controlPr defaultSize="0" print="0" autoFill="0" autoLine="0" autoPict="0">
                <anchor moveWithCells="1">
                  <from>
                    <xdr:col>14</xdr:col>
                    <xdr:colOff>25879</xdr:colOff>
                    <xdr:row>4</xdr:row>
                    <xdr:rowOff>43132</xdr:rowOff>
                  </from>
                  <to>
                    <xdr:col>14</xdr:col>
                    <xdr:colOff>595223</xdr:colOff>
                    <xdr:row>4</xdr:row>
                    <xdr:rowOff>224287</xdr:rowOff>
                  </to>
                </anchor>
              </controlPr>
            </control>
          </mc:Choice>
        </mc:AlternateContent>
        <mc:AlternateContent xmlns:mc="http://schemas.openxmlformats.org/markup-compatibility/2006">
          <mc:Choice Requires="x14">
            <control shapeId="5122" r:id="rId6" name="Drop Down 2">
              <controlPr defaultSize="0" print="0" autoFill="0" autoLine="0" autoPict="0">
                <anchor moveWithCells="1">
                  <from>
                    <xdr:col>13</xdr:col>
                    <xdr:colOff>25879</xdr:colOff>
                    <xdr:row>4</xdr:row>
                    <xdr:rowOff>43132</xdr:rowOff>
                  </from>
                  <to>
                    <xdr:col>13</xdr:col>
                    <xdr:colOff>603849</xdr:colOff>
                    <xdr:row>5</xdr:row>
                    <xdr:rowOff>0</xdr:rowOff>
                  </to>
                </anchor>
              </controlPr>
            </control>
          </mc:Choice>
        </mc:AlternateContent>
        <mc:AlternateContent xmlns:mc="http://schemas.openxmlformats.org/markup-compatibility/2006">
          <mc:Choice Requires="x14">
            <control shapeId="5124" r:id="rId7" name="Drop Down 4">
              <controlPr defaultSize="0" print="0" autoFill="0" autoLine="0" autoPict="0">
                <anchor moveWithCells="1">
                  <from>
                    <xdr:col>15</xdr:col>
                    <xdr:colOff>25879</xdr:colOff>
                    <xdr:row>4</xdr:row>
                    <xdr:rowOff>60385</xdr:rowOff>
                  </from>
                  <to>
                    <xdr:col>15</xdr:col>
                    <xdr:colOff>595223</xdr:colOff>
                    <xdr:row>4</xdr:row>
                    <xdr:rowOff>224287</xdr:rowOff>
                  </to>
                </anchor>
              </controlPr>
            </control>
          </mc:Choice>
        </mc:AlternateContent>
        <mc:AlternateContent xmlns:mc="http://schemas.openxmlformats.org/markup-compatibility/2006">
          <mc:Choice Requires="x14">
            <control shapeId="5125" r:id="rId8" name="Drop Down 5">
              <controlPr defaultSize="0" print="0" autoFill="0" autoLine="0" autoPict="0">
                <anchor moveWithCells="1">
                  <from>
                    <xdr:col>16</xdr:col>
                    <xdr:colOff>8626</xdr:colOff>
                    <xdr:row>4</xdr:row>
                    <xdr:rowOff>34506</xdr:rowOff>
                  </from>
                  <to>
                    <xdr:col>16</xdr:col>
                    <xdr:colOff>595223</xdr:colOff>
                    <xdr:row>4</xdr:row>
                    <xdr:rowOff>224287</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2</xdr:col>
                    <xdr:colOff>34506</xdr:colOff>
                    <xdr:row>45</xdr:row>
                    <xdr:rowOff>8626</xdr:rowOff>
                  </from>
                  <to>
                    <xdr:col>4</xdr:col>
                    <xdr:colOff>646981</xdr:colOff>
                    <xdr:row>45</xdr:row>
                    <xdr:rowOff>146649</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2</xdr:col>
                    <xdr:colOff>34506</xdr:colOff>
                    <xdr:row>45</xdr:row>
                    <xdr:rowOff>189781</xdr:rowOff>
                  </from>
                  <to>
                    <xdr:col>4</xdr:col>
                    <xdr:colOff>646981</xdr:colOff>
                    <xdr:row>46</xdr:row>
                    <xdr:rowOff>138023</xdr:rowOff>
                  </to>
                </anchor>
              </controlPr>
            </control>
          </mc:Choice>
        </mc:AlternateContent>
        <mc:AlternateContent xmlns:mc="http://schemas.openxmlformats.org/markup-compatibility/2006">
          <mc:Choice Requires="x14">
            <control shapeId="5128" r:id="rId11" name="Drop Down 8">
              <controlPr defaultSize="0" autoLine="0" autoPict="0">
                <anchor moveWithCells="1">
                  <from>
                    <xdr:col>2</xdr:col>
                    <xdr:colOff>34506</xdr:colOff>
                    <xdr:row>46</xdr:row>
                    <xdr:rowOff>181155</xdr:rowOff>
                  </from>
                  <to>
                    <xdr:col>4</xdr:col>
                    <xdr:colOff>646981</xdr:colOff>
                    <xdr:row>47</xdr:row>
                    <xdr:rowOff>138023</xdr:rowOff>
                  </to>
                </anchor>
              </controlPr>
            </control>
          </mc:Choice>
        </mc:AlternateContent>
        <mc:AlternateContent xmlns:mc="http://schemas.openxmlformats.org/markup-compatibility/2006">
          <mc:Choice Requires="x14">
            <control shapeId="5129" r:id="rId12" name="Drop Down 9">
              <controlPr defaultSize="0" autoLine="0" autoPict="0">
                <anchor moveWithCells="1">
                  <from>
                    <xdr:col>2</xdr:col>
                    <xdr:colOff>34506</xdr:colOff>
                    <xdr:row>47</xdr:row>
                    <xdr:rowOff>181155</xdr:rowOff>
                  </from>
                  <to>
                    <xdr:col>4</xdr:col>
                    <xdr:colOff>646981</xdr:colOff>
                    <xdr:row>48</xdr:row>
                    <xdr:rowOff>138023</xdr:rowOff>
                  </to>
                </anchor>
              </controlPr>
            </control>
          </mc:Choice>
        </mc:AlternateContent>
        <mc:AlternateContent xmlns:mc="http://schemas.openxmlformats.org/markup-compatibility/2006">
          <mc:Choice Requires="x14">
            <control shapeId="5130" r:id="rId13" name="Drop Down 10">
              <controlPr defaultSize="0" autoLine="0" autoPict="0">
                <anchor moveWithCells="1">
                  <from>
                    <xdr:col>2</xdr:col>
                    <xdr:colOff>34506</xdr:colOff>
                    <xdr:row>49</xdr:row>
                    <xdr:rowOff>8626</xdr:rowOff>
                  </from>
                  <to>
                    <xdr:col>4</xdr:col>
                    <xdr:colOff>646981</xdr:colOff>
                    <xdr:row>49</xdr:row>
                    <xdr:rowOff>146649</xdr:rowOff>
                  </to>
                </anchor>
              </controlPr>
            </control>
          </mc:Choice>
        </mc:AlternateContent>
        <mc:AlternateContent xmlns:mc="http://schemas.openxmlformats.org/markup-compatibility/2006">
          <mc:Choice Requires="x14">
            <control shapeId="5131" r:id="rId14" name="Drop Down 11">
              <controlPr defaultSize="0" autoLine="0" autoPict="0">
                <anchor moveWithCells="1">
                  <from>
                    <xdr:col>2</xdr:col>
                    <xdr:colOff>34506</xdr:colOff>
                    <xdr:row>50</xdr:row>
                    <xdr:rowOff>34506</xdr:rowOff>
                  </from>
                  <to>
                    <xdr:col>4</xdr:col>
                    <xdr:colOff>646981</xdr:colOff>
                    <xdr:row>50</xdr:row>
                    <xdr:rowOff>172528</xdr:rowOff>
                  </to>
                </anchor>
              </controlPr>
            </control>
          </mc:Choice>
        </mc:AlternateContent>
        <mc:AlternateContent xmlns:mc="http://schemas.openxmlformats.org/markup-compatibility/2006">
          <mc:Choice Requires="x14">
            <control shapeId="5132" r:id="rId15" name="Drop Down 12">
              <controlPr defaultSize="0" autoLine="0" autoPict="0">
                <anchor moveWithCells="1">
                  <from>
                    <xdr:col>2</xdr:col>
                    <xdr:colOff>34506</xdr:colOff>
                    <xdr:row>51</xdr:row>
                    <xdr:rowOff>25879</xdr:rowOff>
                  </from>
                  <to>
                    <xdr:col>4</xdr:col>
                    <xdr:colOff>646981</xdr:colOff>
                    <xdr:row>51</xdr:row>
                    <xdr:rowOff>172528</xdr:rowOff>
                  </to>
                </anchor>
              </controlPr>
            </control>
          </mc:Choice>
        </mc:AlternateContent>
        <mc:AlternateContent xmlns:mc="http://schemas.openxmlformats.org/markup-compatibility/2006">
          <mc:Choice Requires="x14">
            <control shapeId="5133" r:id="rId16" name="Drop Down 13">
              <controlPr defaultSize="0" autoLine="0" autoPict="0">
                <anchor moveWithCells="1">
                  <from>
                    <xdr:col>2</xdr:col>
                    <xdr:colOff>25879</xdr:colOff>
                    <xdr:row>52</xdr:row>
                    <xdr:rowOff>34506</xdr:rowOff>
                  </from>
                  <to>
                    <xdr:col>4</xdr:col>
                    <xdr:colOff>638355</xdr:colOff>
                    <xdr:row>52</xdr:row>
                    <xdr:rowOff>172528</xdr:rowOff>
                  </to>
                </anchor>
              </controlPr>
            </control>
          </mc:Choice>
        </mc:AlternateContent>
        <mc:AlternateContent xmlns:mc="http://schemas.openxmlformats.org/markup-compatibility/2006">
          <mc:Choice Requires="x14">
            <control shapeId="5134" r:id="rId17" name="Drop Down 14">
              <controlPr defaultSize="0" autoLine="0" autoPict="0">
                <anchor moveWithCells="1">
                  <from>
                    <xdr:col>2</xdr:col>
                    <xdr:colOff>25879</xdr:colOff>
                    <xdr:row>53</xdr:row>
                    <xdr:rowOff>34506</xdr:rowOff>
                  </from>
                  <to>
                    <xdr:col>4</xdr:col>
                    <xdr:colOff>638355</xdr:colOff>
                    <xdr:row>53</xdr:row>
                    <xdr:rowOff>172528</xdr:rowOff>
                  </to>
                </anchor>
              </controlPr>
            </control>
          </mc:Choice>
        </mc:AlternateContent>
        <mc:AlternateContent xmlns:mc="http://schemas.openxmlformats.org/markup-compatibility/2006">
          <mc:Choice Requires="x14">
            <control shapeId="5136" r:id="rId18" name="Drop Down 16">
              <controlPr defaultSize="0" autoLine="0" autoPict="0">
                <anchor moveWithCells="1">
                  <from>
                    <xdr:col>2</xdr:col>
                    <xdr:colOff>25879</xdr:colOff>
                    <xdr:row>54</xdr:row>
                    <xdr:rowOff>25879</xdr:rowOff>
                  </from>
                  <to>
                    <xdr:col>4</xdr:col>
                    <xdr:colOff>638355</xdr:colOff>
                    <xdr:row>54</xdr:row>
                    <xdr:rowOff>172528</xdr:rowOff>
                  </to>
                </anchor>
              </controlPr>
            </control>
          </mc:Choice>
        </mc:AlternateContent>
        <mc:AlternateContent xmlns:mc="http://schemas.openxmlformats.org/markup-compatibility/2006">
          <mc:Choice Requires="x14">
            <control shapeId="5137" r:id="rId19" name="Drop Down 17">
              <controlPr defaultSize="0" autoLine="0" autoPict="0">
                <anchor moveWithCells="1">
                  <from>
                    <xdr:col>2</xdr:col>
                    <xdr:colOff>34506</xdr:colOff>
                    <xdr:row>55</xdr:row>
                    <xdr:rowOff>8626</xdr:rowOff>
                  </from>
                  <to>
                    <xdr:col>4</xdr:col>
                    <xdr:colOff>638355</xdr:colOff>
                    <xdr:row>55</xdr:row>
                    <xdr:rowOff>146649</xdr:rowOff>
                  </to>
                </anchor>
              </controlPr>
            </control>
          </mc:Choice>
        </mc:AlternateContent>
        <mc:AlternateContent xmlns:mc="http://schemas.openxmlformats.org/markup-compatibility/2006">
          <mc:Choice Requires="x14">
            <control shapeId="5138" r:id="rId20" name="Drop Down 18">
              <controlPr defaultSize="0" autoLine="0" autoPict="0">
                <anchor moveWithCells="1">
                  <from>
                    <xdr:col>2</xdr:col>
                    <xdr:colOff>25879</xdr:colOff>
                    <xdr:row>25</xdr:row>
                    <xdr:rowOff>25879</xdr:rowOff>
                  </from>
                  <to>
                    <xdr:col>7</xdr:col>
                    <xdr:colOff>138023</xdr:colOff>
                    <xdr:row>25</xdr:row>
                    <xdr:rowOff>138023</xdr:rowOff>
                  </to>
                </anchor>
              </controlPr>
            </control>
          </mc:Choice>
        </mc:AlternateContent>
        <mc:AlternateContent xmlns:mc="http://schemas.openxmlformats.org/markup-compatibility/2006">
          <mc:Choice Requires="x14">
            <control shapeId="5140" r:id="rId21" name="Drop Down 20">
              <controlPr defaultSize="0" autoLine="0" autoPict="0">
                <anchor moveWithCells="1">
                  <from>
                    <xdr:col>2</xdr:col>
                    <xdr:colOff>25879</xdr:colOff>
                    <xdr:row>27</xdr:row>
                    <xdr:rowOff>25879</xdr:rowOff>
                  </from>
                  <to>
                    <xdr:col>7</xdr:col>
                    <xdr:colOff>138023</xdr:colOff>
                    <xdr:row>27</xdr:row>
                    <xdr:rowOff>146649</xdr:rowOff>
                  </to>
                </anchor>
              </controlPr>
            </control>
          </mc:Choice>
        </mc:AlternateContent>
        <mc:AlternateContent xmlns:mc="http://schemas.openxmlformats.org/markup-compatibility/2006">
          <mc:Choice Requires="x14">
            <control shapeId="5141" r:id="rId22" name="Drop Down 21">
              <controlPr defaultSize="0" autoLine="0" autoPict="0">
                <anchor moveWithCells="1">
                  <from>
                    <xdr:col>2</xdr:col>
                    <xdr:colOff>34506</xdr:colOff>
                    <xdr:row>28</xdr:row>
                    <xdr:rowOff>25879</xdr:rowOff>
                  </from>
                  <to>
                    <xdr:col>7</xdr:col>
                    <xdr:colOff>146649</xdr:colOff>
                    <xdr:row>28</xdr:row>
                    <xdr:rowOff>146649</xdr:rowOff>
                  </to>
                </anchor>
              </controlPr>
            </control>
          </mc:Choice>
        </mc:AlternateContent>
        <mc:AlternateContent xmlns:mc="http://schemas.openxmlformats.org/markup-compatibility/2006">
          <mc:Choice Requires="x14">
            <control shapeId="5143" r:id="rId23" name="Drop Down 23">
              <controlPr defaultSize="0" autoLine="0" autoPict="0">
                <anchor moveWithCells="1">
                  <from>
                    <xdr:col>2</xdr:col>
                    <xdr:colOff>25879</xdr:colOff>
                    <xdr:row>26</xdr:row>
                    <xdr:rowOff>34506</xdr:rowOff>
                  </from>
                  <to>
                    <xdr:col>7</xdr:col>
                    <xdr:colOff>138023</xdr:colOff>
                    <xdr:row>26</xdr:row>
                    <xdr:rowOff>155275</xdr:rowOff>
                  </to>
                </anchor>
              </controlPr>
            </control>
          </mc:Choice>
        </mc:AlternateContent>
        <mc:AlternateContent xmlns:mc="http://schemas.openxmlformats.org/markup-compatibility/2006">
          <mc:Choice Requires="x14">
            <control shapeId="5144" r:id="rId24" name="Drop Down 24">
              <controlPr defaultSize="0" autoLine="0" autoPict="0">
                <anchor moveWithCells="1">
                  <from>
                    <xdr:col>2</xdr:col>
                    <xdr:colOff>25879</xdr:colOff>
                    <xdr:row>30</xdr:row>
                    <xdr:rowOff>8626</xdr:rowOff>
                  </from>
                  <to>
                    <xdr:col>7</xdr:col>
                    <xdr:colOff>138023</xdr:colOff>
                    <xdr:row>30</xdr:row>
                    <xdr:rowOff>146649</xdr:rowOff>
                  </to>
                </anchor>
              </controlPr>
            </control>
          </mc:Choice>
        </mc:AlternateContent>
        <mc:AlternateContent xmlns:mc="http://schemas.openxmlformats.org/markup-compatibility/2006">
          <mc:Choice Requires="x14">
            <control shapeId="5145" r:id="rId25" name="Drop Down 25">
              <controlPr defaultSize="0" print="0" autoFill="0" autoLine="0" autoPict="0">
                <anchor moveWithCells="1">
                  <from>
                    <xdr:col>12</xdr:col>
                    <xdr:colOff>25879</xdr:colOff>
                    <xdr:row>4</xdr:row>
                    <xdr:rowOff>60385</xdr:rowOff>
                  </from>
                  <to>
                    <xdr:col>13</xdr:col>
                    <xdr:colOff>25879</xdr:colOff>
                    <xdr:row>4</xdr:row>
                    <xdr:rowOff>224287</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92D050"/>
  </sheetPr>
  <dimension ref="A1:AS98"/>
  <sheetViews>
    <sheetView showGridLines="0" showZeros="0" zoomScale="80" zoomScaleNormal="80" workbookViewId="0">
      <pane xSplit="13" ySplit="5" topLeftCell="N33"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50.12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'Grün3(a)'!K2</f>
        <v>Wiese 3xGrünfutter</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3" t="str">
        <f>Inhalt!I9</f>
        <v xml:space="preserve"> 08/2018</v>
      </c>
      <c r="G3" s="3373"/>
      <c r="H3" s="1323"/>
      <c r="I3" s="3365">
        <f>'Grün3(a)'!J3</f>
        <v>0</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'Grün3(a)'!M5</f>
        <v>Grünfutter</v>
      </c>
      <c r="O5" s="2679" t="str">
        <f>'Grün3(a)'!N5</f>
        <v>Grünfutter</v>
      </c>
      <c r="P5" s="2679" t="str">
        <f>'Grün3(a)'!O5</f>
        <v>Grünfutter</v>
      </c>
      <c r="Q5" s="2679">
        <f>'Grün3(a)'!P5</f>
        <v>0</v>
      </c>
      <c r="R5" s="2680">
        <f>'Grün3(a)'!Q5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'Grün3(a)'!K6</f>
        <v>65</v>
      </c>
      <c r="N6" s="1361">
        <f>'Grün3(a)'!M6</f>
        <v>29.25</v>
      </c>
      <c r="O6" s="1361">
        <f>'Grün3(a)'!N6</f>
        <v>22.75</v>
      </c>
      <c r="P6" s="1361">
        <f>'Grün3(a)'!O6</f>
        <v>13</v>
      </c>
      <c r="Q6" s="1361">
        <f>'Grün3(a)'!P6</f>
        <v>0</v>
      </c>
      <c r="R6" s="1362">
        <f>'Grün3(a)'!Q6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20"/>
      <c r="J7" s="220"/>
      <c r="K7" s="220"/>
      <c r="L7" s="425" t="s">
        <v>72</v>
      </c>
      <c r="M7" s="1291">
        <f>'Grün3(a)'!K14</f>
        <v>61.750000000000007</v>
      </c>
      <c r="N7" s="391">
        <f>'Grün3(a)'!M14</f>
        <v>27.787500000000001</v>
      </c>
      <c r="O7" s="391">
        <f>'Grün3(a)'!N14</f>
        <v>21.612500000000001</v>
      </c>
      <c r="P7" s="391">
        <f>'Grün3(a)'!O14</f>
        <v>12.35</v>
      </c>
      <c r="Q7" s="391">
        <f>'Grün3(a)'!P14</f>
        <v>0</v>
      </c>
      <c r="R7" s="1299">
        <f>'Grün3(a)'!Q14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323"/>
      <c r="J8" s="323"/>
      <c r="K8" s="323"/>
      <c r="L8" s="139" t="s">
        <v>376</v>
      </c>
      <c r="M8" s="1292">
        <f>'Grün3(a)'!K15</f>
        <v>343.05555555555554</v>
      </c>
      <c r="N8" s="404">
        <f>'Grün3(a)'!M15</f>
        <v>154.37500000000003</v>
      </c>
      <c r="O8" s="404">
        <f>'Grün3(a)'!N15</f>
        <v>120.06944444444446</v>
      </c>
      <c r="P8" s="404">
        <f>'Grün3(a)'!O15</f>
        <v>68.611111111111114</v>
      </c>
      <c r="Q8" s="404">
        <f>'Grün3(a)'!P15</f>
        <v>0</v>
      </c>
      <c r="R8" s="1201">
        <f>'Grün3(a)'!Q15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20"/>
      <c r="J9" s="220"/>
      <c r="K9" s="220"/>
      <c r="L9" s="425" t="s">
        <v>72</v>
      </c>
      <c r="M9" s="1200">
        <f>'Grün3(a)'!K17</f>
        <v>61.750000000000007</v>
      </c>
      <c r="N9" s="391">
        <f>'Grün3(a)'!M17</f>
        <v>27.787500000000001</v>
      </c>
      <c r="O9" s="391">
        <f>'Grün3(a)'!N17</f>
        <v>21.612500000000001</v>
      </c>
      <c r="P9" s="391">
        <f>'Grün3(a)'!O17</f>
        <v>12.35</v>
      </c>
      <c r="Q9" s="391">
        <f>'Grün3(a)'!P17</f>
        <v>0</v>
      </c>
      <c r="R9" s="1299">
        <f>'Grün3(a)'!Q17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20"/>
      <c r="J10" s="220"/>
      <c r="K10" s="220"/>
      <c r="L10" s="425" t="s">
        <v>376</v>
      </c>
      <c r="M10" s="1181">
        <f>'Grün3(a)'!K18</f>
        <v>343.05555555555554</v>
      </c>
      <c r="N10" s="1303">
        <f>'Grün3(a)'!M18</f>
        <v>154.37500000000003</v>
      </c>
      <c r="O10" s="1303">
        <f>'Grün3(a)'!N18</f>
        <v>120.06944444444446</v>
      </c>
      <c r="P10" s="1303">
        <f>'Grün3(a)'!O18</f>
        <v>68.611111111111114</v>
      </c>
      <c r="Q10" s="1303">
        <f>'Grün3(a)'!P18</f>
        <v>0</v>
      </c>
      <c r="R10" s="1300">
        <f>'Grün3(a)'!Q18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'Grün3(a)'!K19</f>
        <v>0</v>
      </c>
      <c r="N11" s="1551">
        <f>'Grün3(a)'!L19</f>
        <v>0</v>
      </c>
      <c r="O11" s="1551">
        <f>'Grün3(a)'!M19</f>
        <v>0</v>
      </c>
      <c r="P11" s="1551">
        <f>'Grün3(a)'!N19</f>
        <v>0</v>
      </c>
      <c r="Q11" s="1551">
        <f>'Grün3(a)'!O19</f>
        <v>0</v>
      </c>
      <c r="R11" s="1552">
        <f>'Grün3(a)'!P19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20"/>
      <c r="J12" s="220"/>
      <c r="K12" s="220"/>
      <c r="L12" s="425" t="s">
        <v>136</v>
      </c>
      <c r="M12" s="1181">
        <f>'Grün3(a)'!K22</f>
        <v>3735.875</v>
      </c>
      <c r="N12" s="967">
        <f>'Grün3(a)'!M22</f>
        <v>1722.8250000000003</v>
      </c>
      <c r="O12" s="967">
        <f>'Grün3(a)'!N22</f>
        <v>1296.75</v>
      </c>
      <c r="P12" s="967">
        <f>'Grün3(a)'!O22</f>
        <v>716.3</v>
      </c>
      <c r="Q12" s="967">
        <f>'Grün3(a)'!P22</f>
        <v>0</v>
      </c>
      <c r="R12" s="1302">
        <f>'Grün3(a)'!Q22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'Grün3(a)'!K23</f>
        <v>6226.458333333333</v>
      </c>
      <c r="N13" s="1521">
        <f>'Grün3(a)'!M23</f>
        <v>2871.3750000000005</v>
      </c>
      <c r="O13" s="1521">
        <f>'Grün3(a)'!N23</f>
        <v>2161.25</v>
      </c>
      <c r="P13" s="1521">
        <f>'Grün3(a)'!O23</f>
        <v>1193.8333333333333</v>
      </c>
      <c r="Q13" s="1521">
        <f>'Grün3(a)'!P23</f>
        <v>0</v>
      </c>
      <c r="R13" s="1523">
        <f>'Grün3(a)'!Q23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17"/>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17"/>
    </row>
    <row r="16" spans="1:45" s="1" customFormat="1" ht="16.5" customHeight="1" x14ac:dyDescent="0.2">
      <c r="B16" s="1327"/>
      <c r="C16" s="2131">
        <f>C15+1</f>
        <v>12</v>
      </c>
      <c r="D16" s="238"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17"/>
    </row>
    <row r="17" spans="2:44" s="1" customFormat="1" ht="16.5" customHeight="1" thickBot="1" x14ac:dyDescent="0.25">
      <c r="B17" s="1327"/>
      <c r="C17" s="2132">
        <f>C16+1</f>
        <v>13</v>
      </c>
      <c r="D17" s="1505"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17"/>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17"/>
    </row>
    <row r="19" spans="2:44" ht="16.5" customHeight="1" x14ac:dyDescent="0.2">
      <c r="B19" s="3355" t="s">
        <v>459</v>
      </c>
      <c r="C19" s="1204">
        <f>C17+1</f>
        <v>14</v>
      </c>
      <c r="D19" s="3369"/>
      <c r="E19" s="1526" t="s">
        <v>424</v>
      </c>
      <c r="F19" s="1526"/>
      <c r="G19" s="1526"/>
      <c r="H19" s="1526"/>
      <c r="I19" s="1526"/>
      <c r="J19" s="1526"/>
      <c r="K19" s="1526"/>
      <c r="L19" s="1453" t="s">
        <v>154</v>
      </c>
      <c r="M19" s="1554">
        <f>'Grün3(a)'!L32</f>
        <v>0</v>
      </c>
      <c r="N19" s="1527">
        <f>'Grün3(a)'!M32</f>
        <v>0</v>
      </c>
      <c r="O19" s="1527">
        <f>'Grün3(a)'!N32</f>
        <v>0</v>
      </c>
      <c r="P19" s="1527">
        <f>'Grün3(a)'!O32</f>
        <v>0</v>
      </c>
      <c r="Q19" s="1527">
        <f>'Grün3(a)'!P32</f>
        <v>0</v>
      </c>
      <c r="R19" s="1529">
        <f>'Grün3(a)'!Q32</f>
        <v>0</v>
      </c>
      <c r="AG19"/>
      <c r="AH19"/>
      <c r="AI19"/>
      <c r="AJ19"/>
      <c r="AK19"/>
      <c r="AL19"/>
      <c r="AM19"/>
      <c r="AN19"/>
      <c r="AO19"/>
      <c r="AP19"/>
      <c r="AR19" s="6"/>
    </row>
    <row r="20" spans="2:44" ht="16.5" customHeight="1" x14ac:dyDescent="0.2">
      <c r="B20" s="3356"/>
      <c r="C20" s="1308">
        <f t="shared" ref="C20:C28" si="3">C19+1</f>
        <v>15</v>
      </c>
      <c r="D20" s="3370"/>
      <c r="E20" s="2741" t="s">
        <v>1026</v>
      </c>
      <c r="F20" s="16"/>
      <c r="G20" s="16"/>
      <c r="H20" s="16"/>
      <c r="I20" s="16"/>
      <c r="J20" s="16"/>
      <c r="K20" s="16"/>
      <c r="L20" s="1197" t="s">
        <v>154</v>
      </c>
      <c r="M20" s="1305">
        <f>'Grün3(a)'!L34</f>
        <v>693.40770450000002</v>
      </c>
      <c r="N20" s="235">
        <f>'Grün3(a)'!M34</f>
        <v>312.03346702500005</v>
      </c>
      <c r="O20" s="235">
        <f>'Grün3(a)'!N34</f>
        <v>242.69269657500001</v>
      </c>
      <c r="P20" s="235">
        <f>'Grün3(a)'!O34</f>
        <v>138.68154089999999</v>
      </c>
      <c r="Q20" s="235">
        <f>'Grün3(a)'!P34</f>
        <v>0</v>
      </c>
      <c r="R20" s="1192">
        <f>'Grün3(a)'!Q34</f>
        <v>0</v>
      </c>
      <c r="AG20" s="233"/>
      <c r="AH20" s="233"/>
      <c r="AI20" s="233"/>
      <c r="AJ20" s="233"/>
      <c r="AK20" s="233"/>
      <c r="AL20" s="19"/>
      <c r="AM20" s="205"/>
      <c r="AN20" s="18"/>
      <c r="AO20" s="205"/>
      <c r="AP20" s="205"/>
      <c r="AR20" s="234"/>
    </row>
    <row r="21" spans="2:44" ht="16.5" customHeight="1" x14ac:dyDescent="0.2">
      <c r="B21" s="3356"/>
      <c r="C21" s="1308">
        <f t="shared" si="3"/>
        <v>16</v>
      </c>
      <c r="D21" s="3370"/>
      <c r="E21" s="17" t="s">
        <v>227</v>
      </c>
      <c r="F21" s="17"/>
      <c r="G21" s="17"/>
      <c r="H21" s="17"/>
      <c r="I21" s="17"/>
      <c r="J21" s="17"/>
      <c r="K21" s="17"/>
      <c r="L21" s="1197" t="s">
        <v>154</v>
      </c>
      <c r="M21" s="1305">
        <f>'Grün3(a)'!L40</f>
        <v>0</v>
      </c>
      <c r="N21" s="235">
        <f>'Grün3(a)'!M40</f>
        <v>0</v>
      </c>
      <c r="O21" s="235">
        <f>'Grün3(a)'!N40</f>
        <v>0</v>
      </c>
      <c r="P21" s="235">
        <f>'Grün3(a)'!O40</f>
        <v>0</v>
      </c>
      <c r="Q21" s="235">
        <f>'Grün3(a)'!P40</f>
        <v>0</v>
      </c>
      <c r="R21" s="1192">
        <f>'Grün3(a)'!Q40</f>
        <v>0</v>
      </c>
      <c r="AG21" s="233"/>
      <c r="AH21" s="233"/>
      <c r="AI21" s="233"/>
      <c r="AJ21" s="233"/>
      <c r="AK21" s="233"/>
      <c r="AL21" s="19"/>
      <c r="AM21" s="205"/>
      <c r="AN21" s="18"/>
      <c r="AO21" s="205"/>
      <c r="AP21" s="205"/>
      <c r="AR21" s="234"/>
    </row>
    <row r="22" spans="2:44" ht="16.5" customHeight="1" x14ac:dyDescent="0.2">
      <c r="B22" s="3356"/>
      <c r="C22" s="1308">
        <f t="shared" si="3"/>
        <v>17</v>
      </c>
      <c r="D22" s="3370"/>
      <c r="E22" s="17" t="s">
        <v>245</v>
      </c>
      <c r="F22" s="17"/>
      <c r="G22" s="17"/>
      <c r="H22" s="17"/>
      <c r="I22" s="17"/>
      <c r="J22" s="17"/>
      <c r="K22" s="17"/>
      <c r="L22" s="1197" t="s">
        <v>154</v>
      </c>
      <c r="M22" s="1305"/>
      <c r="N22" s="235"/>
      <c r="O22" s="235"/>
      <c r="P22" s="235"/>
      <c r="Q22" s="235"/>
      <c r="R22" s="1192"/>
      <c r="AG22" s="233"/>
      <c r="AH22" s="233"/>
      <c r="AI22" s="233"/>
      <c r="AJ22" s="233"/>
      <c r="AK22" s="233"/>
      <c r="AL22" s="19"/>
      <c r="AM22" s="205"/>
      <c r="AN22" s="18"/>
      <c r="AO22" s="205"/>
      <c r="AP22" s="205"/>
      <c r="AR22" s="234"/>
    </row>
    <row r="23" spans="2:44" ht="16.5" customHeight="1" x14ac:dyDescent="0.2">
      <c r="B23" s="3356"/>
      <c r="C23" s="1308">
        <f t="shared" si="3"/>
        <v>18</v>
      </c>
      <c r="D23" s="3370"/>
      <c r="E23" s="17" t="s">
        <v>451</v>
      </c>
      <c r="F23" s="17"/>
      <c r="G23" s="17"/>
      <c r="H23" s="17"/>
      <c r="I23" s="17"/>
      <c r="J23" s="17"/>
      <c r="K23" s="17"/>
      <c r="L23" s="1197" t="s">
        <v>154</v>
      </c>
      <c r="M23" s="1305">
        <f>'Grün3(a)'!L67</f>
        <v>0</v>
      </c>
      <c r="N23" s="235">
        <f>'Grün3(a)'!M67</f>
        <v>0</v>
      </c>
      <c r="O23" s="235">
        <f>'Grün3(a)'!N67</f>
        <v>0</v>
      </c>
      <c r="P23" s="235">
        <f>'Grün3(a)'!O67</f>
        <v>0</v>
      </c>
      <c r="Q23" s="235">
        <f>'Grün3(a)'!P67</f>
        <v>0</v>
      </c>
      <c r="R23" s="1192">
        <f>'Grün3(a)'!Q67</f>
        <v>0</v>
      </c>
      <c r="AG23" s="233"/>
      <c r="AH23" s="233"/>
      <c r="AI23" s="233"/>
      <c r="AJ23" s="233"/>
      <c r="AK23" s="233"/>
      <c r="AL23" s="19"/>
      <c r="AM23" s="205"/>
      <c r="AN23" s="18"/>
      <c r="AO23" s="205"/>
      <c r="AP23" s="205"/>
      <c r="AR23" s="234"/>
    </row>
    <row r="24" spans="2:44" ht="16.5" customHeight="1" x14ac:dyDescent="0.2">
      <c r="B24" s="3356"/>
      <c r="C24" s="1308">
        <f t="shared" si="3"/>
        <v>19</v>
      </c>
      <c r="D24" s="3371"/>
      <c r="E24" s="17" t="s">
        <v>246</v>
      </c>
      <c r="F24" s="17"/>
      <c r="G24" s="17"/>
      <c r="H24" s="17"/>
      <c r="I24" s="17"/>
      <c r="J24" s="17"/>
      <c r="K24" s="17"/>
      <c r="L24" s="1197" t="s">
        <v>154</v>
      </c>
      <c r="M24" s="1305">
        <f>'Grün3(a)'!L43</f>
        <v>177.94313136057602</v>
      </c>
      <c r="N24" s="235">
        <f>'Grün3(a)'!M43</f>
        <v>65.225268029391998</v>
      </c>
      <c r="O24" s="235">
        <f>'Grün3(a)'!N43</f>
        <v>59.314377120192006</v>
      </c>
      <c r="P24" s="235">
        <f>'Grün3(a)'!O43</f>
        <v>53.403486210992007</v>
      </c>
      <c r="Q24" s="235">
        <f>'Grün3(a)'!P43</f>
        <v>0</v>
      </c>
      <c r="R24" s="1192">
        <f>'Grün3(a)'!Q43</f>
        <v>0</v>
      </c>
      <c r="AG24" s="233"/>
      <c r="AH24" s="233"/>
      <c r="AI24" s="233"/>
      <c r="AJ24" s="233"/>
      <c r="AK24" s="233"/>
      <c r="AL24" s="19"/>
      <c r="AM24" s="205"/>
      <c r="AN24" s="18"/>
      <c r="AO24" s="205"/>
      <c r="AP24" s="205"/>
      <c r="AR24" s="234"/>
    </row>
    <row r="25" spans="2:44" ht="16.5" customHeight="1" x14ac:dyDescent="0.2">
      <c r="B25" s="3356"/>
      <c r="C25" s="1308">
        <f t="shared" si="3"/>
        <v>20</v>
      </c>
      <c r="D25" s="3371"/>
      <c r="E25" s="17" t="s">
        <v>171</v>
      </c>
      <c r="F25" s="17"/>
      <c r="G25" s="17"/>
      <c r="H25" s="17"/>
      <c r="I25" s="17"/>
      <c r="J25" s="17"/>
      <c r="K25" s="17"/>
      <c r="L25" s="1197" t="s">
        <v>154</v>
      </c>
      <c r="M25" s="1305">
        <f>'Grün3(a)'!L59</f>
        <v>0</v>
      </c>
      <c r="N25" s="235">
        <f>'Grün3(a)'!M59</f>
        <v>0</v>
      </c>
      <c r="O25" s="235">
        <f>'Grün3(a)'!N59</f>
        <v>0</v>
      </c>
      <c r="P25" s="235">
        <f>'Grün3(a)'!O59</f>
        <v>0</v>
      </c>
      <c r="Q25" s="235">
        <f>'Grün3(a)'!P59</f>
        <v>0</v>
      </c>
      <c r="R25" s="1192">
        <f>'Grün3(a)'!Q59</f>
        <v>0</v>
      </c>
      <c r="AG25" s="233"/>
      <c r="AH25" s="233"/>
      <c r="AI25" s="233"/>
      <c r="AJ25" s="233"/>
      <c r="AK25" s="233"/>
      <c r="AL25" s="19"/>
      <c r="AM25" s="205"/>
      <c r="AN25" s="18"/>
      <c r="AO25" s="205"/>
      <c r="AP25" s="205"/>
      <c r="AR25" s="234"/>
    </row>
    <row r="26" spans="2:44" ht="16.5" customHeight="1" x14ac:dyDescent="0.2">
      <c r="B26" s="3356"/>
      <c r="C26" s="1345">
        <f t="shared" si="3"/>
        <v>21</v>
      </c>
      <c r="D26" s="3372"/>
      <c r="E26" s="142" t="s">
        <v>85</v>
      </c>
      <c r="F26" s="142"/>
      <c r="G26" s="142"/>
      <c r="H26" s="142"/>
      <c r="I26" s="142"/>
      <c r="J26" s="142"/>
      <c r="K26" s="142"/>
      <c r="L26" s="1558" t="s">
        <v>154</v>
      </c>
      <c r="M26" s="1557">
        <f>'Grün3(a)'!L64</f>
        <v>0</v>
      </c>
      <c r="N26" s="1437">
        <f>'Grün3(a)'!M64</f>
        <v>0</v>
      </c>
      <c r="O26" s="1437">
        <f>'Grün3(a)'!N64</f>
        <v>0</v>
      </c>
      <c r="P26" s="1437">
        <f>'Grün3(a)'!O64</f>
        <v>0</v>
      </c>
      <c r="Q26" s="1437">
        <f>'Grün3(a)'!P64</f>
        <v>0</v>
      </c>
      <c r="R26" s="1439">
        <f>'Grün3(a)'!Q64</f>
        <v>0</v>
      </c>
      <c r="AG26" s="233"/>
      <c r="AH26" s="233"/>
      <c r="AI26" s="233"/>
      <c r="AJ26" s="233"/>
      <c r="AK26" s="233"/>
      <c r="AL26" s="19"/>
      <c r="AM26" s="205"/>
      <c r="AN26" s="18"/>
      <c r="AO26" s="205"/>
      <c r="AP26" s="205"/>
      <c r="AR26" s="234"/>
    </row>
    <row r="27" spans="2:44" ht="20.399999999999999" customHeight="1" x14ac:dyDescent="0.2">
      <c r="B27" s="3357"/>
      <c r="C27" s="1345">
        <f t="shared" si="3"/>
        <v>22</v>
      </c>
      <c r="D27" s="1485" t="s">
        <v>301</v>
      </c>
      <c r="E27" s="1486"/>
      <c r="F27" s="1780"/>
      <c r="G27" s="1780"/>
      <c r="H27" s="1780"/>
      <c r="I27" s="1780"/>
      <c r="J27" s="1780"/>
      <c r="K27" s="1780"/>
      <c r="L27" s="1781" t="s">
        <v>154</v>
      </c>
      <c r="M27" s="1782">
        <f t="shared" ref="M27:R27" si="4">M19+M20+M21+M23+M24+M25+M26</f>
        <v>871.35083586057601</v>
      </c>
      <c r="N27" s="1782">
        <f t="shared" si="4"/>
        <v>377.25873505439205</v>
      </c>
      <c r="O27" s="1782">
        <f t="shared" si="4"/>
        <v>302.00707369519205</v>
      </c>
      <c r="P27" s="1782">
        <f t="shared" si="4"/>
        <v>192.085027110992</v>
      </c>
      <c r="Q27" s="1782">
        <f t="shared" si="4"/>
        <v>0</v>
      </c>
      <c r="R27" s="1863">
        <f t="shared" si="4"/>
        <v>0</v>
      </c>
      <c r="AG27" s="233"/>
      <c r="AH27" s="233"/>
      <c r="AI27" s="233"/>
      <c r="AJ27" s="233"/>
      <c r="AK27" s="233"/>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-871.35083586057601</v>
      </c>
      <c r="N28" s="1321">
        <f t="shared" si="5"/>
        <v>-377.25873505439205</v>
      </c>
      <c r="O28" s="1321">
        <f t="shared" si="5"/>
        <v>-302.00707369519205</v>
      </c>
      <c r="P28" s="1321">
        <f t="shared" si="5"/>
        <v>-192.085027110992</v>
      </c>
      <c r="Q28" s="1321">
        <f t="shared" si="5"/>
        <v>0</v>
      </c>
      <c r="R28" s="1374">
        <f t="shared" si="5"/>
        <v>0</v>
      </c>
      <c r="AG28" s="233"/>
      <c r="AH28" s="233"/>
      <c r="AI28" s="233"/>
      <c r="AJ28" s="233"/>
      <c r="AK28" s="233"/>
      <c r="AL28" s="19"/>
      <c r="AM28" s="205"/>
      <c r="AN28" s="18"/>
      <c r="AO28" s="205"/>
      <c r="AP28" s="205"/>
      <c r="AR28" s="234"/>
    </row>
    <row r="29" spans="2:44" ht="14.95" customHeight="1" x14ac:dyDescent="0.2">
      <c r="B29" s="3358"/>
      <c r="C29" s="1308">
        <f t="shared" ref="C29:C34" si="6">C28+1</f>
        <v>24</v>
      </c>
      <c r="D29" s="1783"/>
      <c r="E29" s="1363"/>
      <c r="F29" s="1784"/>
      <c r="G29" s="1784"/>
      <c r="H29" s="1784"/>
      <c r="I29" s="1784"/>
      <c r="J29" s="1784"/>
      <c r="K29" s="1784"/>
      <c r="L29" s="1510" t="s">
        <v>158</v>
      </c>
      <c r="M29" s="1377">
        <f t="shared" ref="M29:R29" si="7">IF(M8=0,0,M28/M12)</f>
        <v>-0.23323875554202858</v>
      </c>
      <c r="N29" s="1377">
        <f t="shared" si="7"/>
        <v>-0.21897681717782827</v>
      </c>
      <c r="O29" s="1377">
        <f t="shared" si="7"/>
        <v>-0.23289537204179067</v>
      </c>
      <c r="P29" s="1377">
        <f t="shared" si="7"/>
        <v>-0.2681628188063549</v>
      </c>
      <c r="Q29" s="1377">
        <f t="shared" si="7"/>
        <v>0</v>
      </c>
      <c r="R29" s="1785">
        <f t="shared" si="7"/>
        <v>0</v>
      </c>
      <c r="U29" s="2112" t="s">
        <v>563</v>
      </c>
      <c r="AG29" s="233"/>
      <c r="AH29" s="233"/>
      <c r="AI29" s="233"/>
      <c r="AJ29" s="233"/>
      <c r="AK29" s="233"/>
      <c r="AL29" s="19"/>
      <c r="AM29" s="205"/>
      <c r="AN29" s="18"/>
      <c r="AO29" s="205"/>
      <c r="AP29" s="205"/>
      <c r="AR29" s="234"/>
    </row>
    <row r="30" spans="2:44" ht="20.399999999999999" customHeight="1" x14ac:dyDescent="0.2">
      <c r="B30" s="3358"/>
      <c r="C30" s="1308">
        <f t="shared" si="6"/>
        <v>25</v>
      </c>
      <c r="D30" s="3" t="s">
        <v>566</v>
      </c>
      <c r="E30" s="3"/>
      <c r="F30" s="3"/>
      <c r="G30" s="163"/>
      <c r="H30" s="163"/>
      <c r="I30" s="24"/>
      <c r="J30" s="24"/>
      <c r="K30" s="24"/>
      <c r="L30" s="425" t="s">
        <v>154</v>
      </c>
      <c r="M30" s="1291">
        <f t="shared" ref="M30:R30" si="8">M17</f>
        <v>560</v>
      </c>
      <c r="N30" s="1553">
        <f t="shared" si="8"/>
        <v>252</v>
      </c>
      <c r="O30" s="1553">
        <f t="shared" si="8"/>
        <v>196</v>
      </c>
      <c r="P30" s="1553">
        <f t="shared" si="8"/>
        <v>112</v>
      </c>
      <c r="Q30" s="1553">
        <f t="shared" si="8"/>
        <v>0</v>
      </c>
      <c r="R30" s="1299">
        <f t="shared" si="8"/>
        <v>0</v>
      </c>
      <c r="T30" s="2112" t="s">
        <v>565</v>
      </c>
      <c r="U30" s="2115">
        <f>'Grün3(a)'!L25</f>
        <v>290</v>
      </c>
      <c r="V30" s="2115">
        <f>'Grün3(a)'!M25</f>
        <v>130.5</v>
      </c>
      <c r="W30" s="2115">
        <f>'Grün3(a)'!N25</f>
        <v>101.5</v>
      </c>
      <c r="X30" s="2115">
        <f>'Grün3(a)'!O25</f>
        <v>58</v>
      </c>
      <c r="Y30" s="2115">
        <f>'Grün3(a)'!P25</f>
        <v>0</v>
      </c>
      <c r="Z30" s="2115">
        <f>'Grün3(a)'!Q25</f>
        <v>0</v>
      </c>
      <c r="AA30">
        <f>'Grün3(a)'!R25+'Grün3(a)'!R30</f>
        <v>0</v>
      </c>
      <c r="AG30" s="233"/>
      <c r="AH30" s="233"/>
      <c r="AI30" s="233"/>
      <c r="AJ30" s="233"/>
      <c r="AK30" s="233"/>
      <c r="AL30" s="19"/>
      <c r="AM30" s="205"/>
      <c r="AN30" s="18"/>
      <c r="AO30" s="205"/>
      <c r="AP30" s="205"/>
      <c r="AR30" s="234"/>
    </row>
    <row r="31" spans="2:44" ht="16.5" customHeight="1" x14ac:dyDescent="0.2">
      <c r="B31" s="3358"/>
      <c r="C31" s="1308">
        <f t="shared" si="6"/>
        <v>26</v>
      </c>
      <c r="D31" s="1556" t="s">
        <v>84</v>
      </c>
      <c r="E31" s="74"/>
      <c r="F31" s="142"/>
      <c r="G31" s="142"/>
      <c r="H31" s="142"/>
      <c r="I31" s="142"/>
      <c r="J31" s="142"/>
      <c r="K31" s="142"/>
      <c r="L31" s="1436" t="s">
        <v>154</v>
      </c>
      <c r="M31" s="1557">
        <f>M27*'Grün3(a)'!$L$72*'Grün3(a)'!$Q$72/12/100</f>
        <v>5.4459427241286003</v>
      </c>
      <c r="N31" s="1437">
        <f>N27*'Grün3(a)'!$L$72*'Grün3(a)'!$Q$72/12/100</f>
        <v>2.3578670940899507</v>
      </c>
      <c r="O31" s="1437">
        <f>O27*'Grün3(a)'!$L$72*'Grün3(a)'!$Q$72/12/100</f>
        <v>1.8875442105949503</v>
      </c>
      <c r="P31" s="1437">
        <f>P27*'Grün3(a)'!$L$72*'Grün3(a)'!$Q$72/12/100</f>
        <v>1.2005314194437</v>
      </c>
      <c r="Q31" s="1437">
        <f>Q27*'Grün3(a)'!$L$72*'Grün3(a)'!$Q$72/12/100</f>
        <v>0</v>
      </c>
      <c r="R31" s="1439">
        <f>R27*'Grün3(a)'!$L$72*'Grün3(a)'!$Q$72/12/100</f>
        <v>0</v>
      </c>
      <c r="T31" s="2112" t="s">
        <v>564</v>
      </c>
      <c r="U31" s="2115">
        <f>'Grün3(a)'!L30</f>
        <v>270</v>
      </c>
      <c r="V31" s="2115">
        <f>'Grün3(a)'!M30</f>
        <v>121.5</v>
      </c>
      <c r="W31" s="2115">
        <f>'Grün3(a)'!N30</f>
        <v>94.5</v>
      </c>
      <c r="X31" s="2115">
        <f>'Grün3(a)'!O30</f>
        <v>54</v>
      </c>
      <c r="Y31" s="2115">
        <f>'Grün3(a)'!P30</f>
        <v>0</v>
      </c>
      <c r="Z31" s="2115">
        <f>'Grün3(a)'!Q30</f>
        <v>0</v>
      </c>
      <c r="AG31" s="233"/>
      <c r="AH31" s="233"/>
      <c r="AI31" s="233"/>
      <c r="AJ31" s="233"/>
      <c r="AK31" s="233"/>
      <c r="AL31" s="19"/>
      <c r="AM31" s="205"/>
      <c r="AN31" s="18"/>
      <c r="AO31" s="205"/>
      <c r="AP31" s="205"/>
      <c r="AR31" s="234"/>
    </row>
    <row r="32" spans="2:44" s="371" customFormat="1" ht="20.399999999999999" customHeight="1" x14ac:dyDescent="0.2">
      <c r="B32" s="3358"/>
      <c r="C32" s="1308">
        <f t="shared" si="6"/>
        <v>27</v>
      </c>
      <c r="D32" s="3362" t="s">
        <v>567</v>
      </c>
      <c r="E32" s="3363"/>
      <c r="F32" s="3363"/>
      <c r="G32" s="3363"/>
      <c r="H32" s="3363"/>
      <c r="I32" s="3363"/>
      <c r="J32" s="3363"/>
      <c r="K32" s="3363"/>
      <c r="L32" s="1213" t="s">
        <v>154</v>
      </c>
      <c r="M32" s="1313">
        <f t="shared" ref="M32:R32" si="9">M28+M30-M31</f>
        <v>-316.79677858470461</v>
      </c>
      <c r="N32" s="1313">
        <f t="shared" si="9"/>
        <v>-127.616602148482</v>
      </c>
      <c r="O32" s="1313">
        <f t="shared" si="9"/>
        <v>-107.894617905787</v>
      </c>
      <c r="P32" s="1313">
        <f t="shared" si="9"/>
        <v>-81.285558530435708</v>
      </c>
      <c r="Q32" s="1313">
        <f t="shared" si="9"/>
        <v>0</v>
      </c>
      <c r="R32" s="1320">
        <f t="shared" si="9"/>
        <v>0</v>
      </c>
      <c r="S32" s="246"/>
      <c r="U32" s="371">
        <f t="shared" ref="U32:Z32" si="10">U30+U31</f>
        <v>560</v>
      </c>
      <c r="V32" s="371">
        <f t="shared" si="10"/>
        <v>252</v>
      </c>
      <c r="W32" s="371">
        <f t="shared" si="10"/>
        <v>196</v>
      </c>
      <c r="X32" s="371">
        <f t="shared" si="10"/>
        <v>112</v>
      </c>
      <c r="Y32" s="371">
        <f t="shared" si="10"/>
        <v>0</v>
      </c>
      <c r="Z32" s="371">
        <f t="shared" si="10"/>
        <v>0</v>
      </c>
      <c r="AG32" s="966"/>
      <c r="AH32" s="966"/>
      <c r="AI32" s="966"/>
      <c r="AJ32" s="966"/>
      <c r="AK32" s="966"/>
      <c r="AL32" s="376"/>
      <c r="AM32" s="1329"/>
      <c r="AN32" s="1329"/>
      <c r="AO32" s="1329"/>
      <c r="AP32" s="1329"/>
      <c r="AR32" s="1330"/>
    </row>
    <row r="33" spans="2:44" s="371" customFormat="1" ht="18" customHeight="1" x14ac:dyDescent="0.2">
      <c r="B33" s="3358"/>
      <c r="C33" s="1308">
        <f t="shared" si="6"/>
        <v>28</v>
      </c>
      <c r="D33" s="1786"/>
      <c r="E33" s="1318"/>
      <c r="F33" s="1318"/>
      <c r="G33" s="1318"/>
      <c r="H33" s="1318"/>
      <c r="I33" s="1318"/>
      <c r="J33" s="1318"/>
      <c r="K33" s="1318"/>
      <c r="L33" s="1208" t="s">
        <v>158</v>
      </c>
      <c r="M33" s="1199">
        <f t="shared" ref="M33:R33" si="11">IF(M12=0,0,M32/M12)</f>
        <v>-8.4798548823155115E-2</v>
      </c>
      <c r="N33" s="1199">
        <f t="shared" si="11"/>
        <v>-7.4074036625009498E-2</v>
      </c>
      <c r="O33" s="1199">
        <f t="shared" si="11"/>
        <v>-8.3203869601532296E-2</v>
      </c>
      <c r="P33" s="1199">
        <f t="shared" si="11"/>
        <v>-0.11347976899404678</v>
      </c>
      <c r="Q33" s="1199">
        <f t="shared" si="11"/>
        <v>0</v>
      </c>
      <c r="R33" s="1779">
        <f t="shared" si="11"/>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6"/>
        <v>29</v>
      </c>
      <c r="D34" s="1880"/>
      <c r="E34" s="1193"/>
      <c r="F34" s="1193"/>
      <c r="G34" s="1193"/>
      <c r="H34" s="1193"/>
      <c r="I34" s="1193"/>
      <c r="J34" s="1193"/>
      <c r="K34" s="1193"/>
      <c r="L34" s="1209" t="s">
        <v>159</v>
      </c>
      <c r="M34" s="1599">
        <f t="shared" ref="M34:R34" si="12">IF(M13=0,0,M32/M13)</f>
        <v>-5.0879129293893072E-2</v>
      </c>
      <c r="N34" s="1599">
        <f t="shared" si="12"/>
        <v>-4.4444421975005699E-2</v>
      </c>
      <c r="O34" s="1599">
        <f t="shared" si="12"/>
        <v>-4.9922321760919375E-2</v>
      </c>
      <c r="P34" s="1599">
        <f t="shared" si="12"/>
        <v>-6.808786139642807E-2</v>
      </c>
      <c r="Q34" s="1599">
        <f t="shared" si="12"/>
        <v>0</v>
      </c>
      <c r="R34" s="1787">
        <f t="shared" si="12"/>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1769" t="s">
        <v>242</v>
      </c>
      <c r="F36" s="1769"/>
      <c r="G36" s="1769"/>
      <c r="H36" s="1769"/>
      <c r="I36" s="1769"/>
      <c r="J36" s="1769"/>
      <c r="K36" s="1769"/>
      <c r="L36" s="1770" t="s">
        <v>161</v>
      </c>
      <c r="M36" s="1771">
        <f>'Grün3(a)'!K58</f>
        <v>14.423400000000001</v>
      </c>
      <c r="N36" s="1772">
        <f>'Grün3(a)'!M58</f>
        <v>5.2683</v>
      </c>
      <c r="O36" s="1772">
        <f>'Grün3(a)'!N58</f>
        <v>4.8078000000000003</v>
      </c>
      <c r="P36" s="1772">
        <f>'Grün3(a)'!O58</f>
        <v>4.3473000000000006</v>
      </c>
      <c r="Q36" s="1772">
        <f>'Grün3(a)'!P58</f>
        <v>0</v>
      </c>
      <c r="R36" s="1773">
        <f>'Grün3(a)'!Q58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'Grün3(a)'!K16</f>
        <v>107.20486111111111</v>
      </c>
      <c r="N37" s="1775">
        <f>'Grün3(a)'!M16</f>
        <v>48.242187500000007</v>
      </c>
      <c r="O37" s="1775">
        <f>'Grün3(a)'!N16</f>
        <v>37.521701388888893</v>
      </c>
      <c r="P37" s="1775">
        <f>'Grün3(a)'!O16</f>
        <v>21.440972222222221</v>
      </c>
      <c r="Q37" s="1775">
        <f>'Grün3(a)'!P16</f>
        <v>0</v>
      </c>
      <c r="R37" s="1776">
        <f>'Grün3(a)'!Q16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3">C37+1</f>
        <v>32</v>
      </c>
      <c r="D38" s="1563"/>
      <c r="E38" s="142" t="s">
        <v>211</v>
      </c>
      <c r="F38" s="142"/>
      <c r="G38" s="142"/>
      <c r="H38" s="142"/>
      <c r="I38" s="1564"/>
      <c r="J38" s="1564"/>
      <c r="K38" s="1564"/>
      <c r="L38" s="392" t="s">
        <v>218</v>
      </c>
      <c r="M38" s="1685"/>
      <c r="N38" s="1565">
        <f>'Grün3(a)'!M78</f>
        <v>0</v>
      </c>
      <c r="O38" s="1565">
        <f>'Grün3(a)'!N78</f>
        <v>0</v>
      </c>
      <c r="P38" s="1565">
        <f>'Grün3(a)'!O78</f>
        <v>0</v>
      </c>
      <c r="Q38" s="1565">
        <f>'Grün3(a)'!P78</f>
        <v>0</v>
      </c>
      <c r="R38" s="1566">
        <f>'Grün3(a)'!Q78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3"/>
        <v>33</v>
      </c>
      <c r="D39" s="1206"/>
      <c r="E39" s="17" t="s">
        <v>212</v>
      </c>
      <c r="F39" s="17"/>
      <c r="G39" s="163"/>
      <c r="H39" s="163"/>
      <c r="I39" s="1777">
        <f>Preise!$M$37</f>
        <v>16.5</v>
      </c>
      <c r="J39" s="299" t="s">
        <v>217</v>
      </c>
      <c r="K39" s="1778"/>
      <c r="L39" s="1198" t="s">
        <v>154</v>
      </c>
      <c r="M39" s="1305">
        <f t="shared" ref="M39:R39" si="14">$I$39*M36</f>
        <v>237.98610000000002</v>
      </c>
      <c r="N39" s="235">
        <f t="shared" si="14"/>
        <v>86.926950000000005</v>
      </c>
      <c r="O39" s="235">
        <f t="shared" si="14"/>
        <v>79.328699999999998</v>
      </c>
      <c r="P39" s="235">
        <f t="shared" si="14"/>
        <v>71.730450000000005</v>
      </c>
      <c r="Q39" s="235">
        <f t="shared" si="14"/>
        <v>0</v>
      </c>
      <c r="R39" s="1192">
        <f t="shared" si="14"/>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3"/>
        <v>34</v>
      </c>
      <c r="D40" s="1206"/>
      <c r="E40" s="17" t="s">
        <v>211</v>
      </c>
      <c r="F40" s="17"/>
      <c r="G40" s="17"/>
      <c r="H40" s="17"/>
      <c r="I40" s="17"/>
      <c r="J40" s="17"/>
      <c r="K40" s="17"/>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3"/>
        <v>35</v>
      </c>
      <c r="D41" s="9"/>
      <c r="E41" s="17" t="s">
        <v>228</v>
      </c>
      <c r="F41" s="17"/>
      <c r="G41" s="17"/>
      <c r="H41" s="17"/>
      <c r="I41" s="17"/>
      <c r="J41" s="17"/>
      <c r="K41" s="17"/>
      <c r="L41" s="1198" t="s">
        <v>154</v>
      </c>
      <c r="M41" s="1305">
        <f>Maschinen!S45</f>
        <v>236.99238553030298</v>
      </c>
      <c r="N41" s="235">
        <f>N$6/$M$6*$M$41</f>
        <v>106.64657348863635</v>
      </c>
      <c r="O41" s="235">
        <f>O$6/$M$6*$M$41</f>
        <v>82.947334935606037</v>
      </c>
      <c r="P41" s="235">
        <f>P$6/$M$6*$M$41</f>
        <v>47.398477106060596</v>
      </c>
      <c r="Q41" s="235">
        <f>Q$6/$M$6*$M$41</f>
        <v>0</v>
      </c>
      <c r="R41" s="1192">
        <f>R$6/$M$6*$M$41</f>
        <v>0</v>
      </c>
      <c r="S41" s="3364" t="s">
        <v>1201</v>
      </c>
      <c r="AG41"/>
      <c r="AH41"/>
      <c r="AI41"/>
      <c r="AJ41"/>
      <c r="AK41"/>
      <c r="AL41"/>
      <c r="AM41"/>
      <c r="AN41"/>
      <c r="AO41"/>
      <c r="AP41"/>
      <c r="AR41" s="167"/>
    </row>
    <row r="42" spans="2:44" ht="19.2" customHeight="1" x14ac:dyDescent="0.2">
      <c r="B42" s="3356"/>
      <c r="C42" s="1349">
        <f t="shared" si="13"/>
        <v>36</v>
      </c>
      <c r="D42" s="1206"/>
      <c r="E42" s="17" t="s">
        <v>243</v>
      </c>
      <c r="F42" s="17"/>
      <c r="G42" s="17"/>
      <c r="H42" s="17"/>
      <c r="I42" s="17"/>
      <c r="J42" s="17"/>
      <c r="K42" s="17"/>
      <c r="L42" s="1198" t="s">
        <v>154</v>
      </c>
      <c r="M42" s="1305">
        <f>Maschinen!S54</f>
        <v>38.823749999999997</v>
      </c>
      <c r="N42" s="235">
        <f>N$6/$M$6*$M$42</f>
        <v>17.4706875</v>
      </c>
      <c r="O42" s="235">
        <f>O$6/$M$6*$M$42</f>
        <v>13.588312499999999</v>
      </c>
      <c r="P42" s="235">
        <f>P$6/$M$6*$M$42</f>
        <v>7.7647499999999994</v>
      </c>
      <c r="Q42" s="235">
        <f>Q$6/$M$6*$M$42</f>
        <v>0</v>
      </c>
      <c r="R42" s="1192">
        <f>R$6/$M$6*$M$42</f>
        <v>0</v>
      </c>
      <c r="S42" s="3364"/>
      <c r="AG42" s="9"/>
      <c r="AH42" s="9"/>
      <c r="AI42" s="9"/>
      <c r="AJ42" s="9"/>
      <c r="AK42" s="9"/>
      <c r="AL42" s="158"/>
      <c r="AM42" s="160"/>
      <c r="AN42" s="161"/>
      <c r="AO42" s="160"/>
      <c r="AP42" s="160"/>
      <c r="AR42" s="12"/>
    </row>
    <row r="43" spans="2:44" ht="19.2" customHeight="1" x14ac:dyDescent="0.2">
      <c r="B43" s="3356"/>
      <c r="C43" s="1349">
        <f t="shared" si="13"/>
        <v>37</v>
      </c>
      <c r="D43" s="1206"/>
      <c r="E43" s="17" t="s">
        <v>166</v>
      </c>
      <c r="F43" s="17"/>
      <c r="G43" s="17"/>
      <c r="H43" s="17"/>
      <c r="I43" s="17"/>
      <c r="J43" s="17"/>
      <c r="K43" s="17"/>
      <c r="L43" s="1198" t="s">
        <v>154</v>
      </c>
      <c r="M43" s="1305">
        <f>'Lager-Fläche'!$K$47</f>
        <v>80</v>
      </c>
      <c r="N43" s="235">
        <f>N$6/$M$6*$M$43</f>
        <v>36</v>
      </c>
      <c r="O43" s="235">
        <f>O$6/$M$6*$M$43</f>
        <v>28</v>
      </c>
      <c r="P43" s="235">
        <f>P$6/$M$6*$M$43</f>
        <v>16</v>
      </c>
      <c r="Q43" s="235">
        <f>Q$6/$M$6*$M$43</f>
        <v>0</v>
      </c>
      <c r="R43" s="1192">
        <f>R$6/$M$6*$M$43</f>
        <v>0</v>
      </c>
      <c r="AG43" s="15"/>
      <c r="AH43" s="15"/>
      <c r="AI43" s="15"/>
      <c r="AJ43" s="15"/>
      <c r="AK43" s="15"/>
      <c r="AL43" s="13"/>
      <c r="AM43" s="20"/>
      <c r="AN43" s="21"/>
      <c r="AO43" s="20"/>
      <c r="AP43" s="20"/>
      <c r="AR43" s="10"/>
    </row>
    <row r="44" spans="2:44" ht="19.2" customHeight="1" x14ac:dyDescent="0.2">
      <c r="B44" s="3356"/>
      <c r="C44" s="1349">
        <f t="shared" si="13"/>
        <v>38</v>
      </c>
      <c r="D44" s="1563"/>
      <c r="E44" s="142" t="s">
        <v>244</v>
      </c>
      <c r="F44" s="142"/>
      <c r="G44" s="142"/>
      <c r="H44" s="142"/>
      <c r="I44" s="142"/>
      <c r="J44" s="142"/>
      <c r="K44" s="142"/>
      <c r="L44" s="1212" t="s">
        <v>154</v>
      </c>
      <c r="M44" s="1557">
        <f>'Lager-Fläche'!$L$56</f>
        <v>124.95</v>
      </c>
      <c r="N44" s="1437">
        <f>N$6/$M$6*$M$44</f>
        <v>56.227499999999999</v>
      </c>
      <c r="O44" s="1437">
        <f>O$6/$M$6*$M$44</f>
        <v>43.732500000000002</v>
      </c>
      <c r="P44" s="1437">
        <f>P$6/$M$6*$M$44</f>
        <v>24.990000000000002</v>
      </c>
      <c r="Q44" s="1437">
        <f>Q$6/$M$6*$M$44</f>
        <v>0</v>
      </c>
      <c r="R44" s="1439">
        <f>R$6/$M$6*$M$44</f>
        <v>0</v>
      </c>
      <c r="AG44" s="17"/>
      <c r="AH44" s="17"/>
      <c r="AI44" s="17"/>
      <c r="AJ44" s="17"/>
      <c r="AK44" s="17"/>
      <c r="AL44" s="19"/>
      <c r="AM44" s="22"/>
      <c r="AN44" s="23"/>
      <c r="AO44" s="22"/>
      <c r="AP44" s="22"/>
      <c r="AR44" s="11"/>
    </row>
    <row r="45" spans="2:44" ht="23.95" customHeight="1" thickBot="1" x14ac:dyDescent="0.25">
      <c r="B45" s="3357"/>
      <c r="C45" s="1350">
        <f t="shared" si="13"/>
        <v>39</v>
      </c>
      <c r="D45" s="1193" t="s">
        <v>504</v>
      </c>
      <c r="E45" s="1334"/>
      <c r="F45" s="1451"/>
      <c r="G45" s="1451"/>
      <c r="H45" s="1451"/>
      <c r="I45" s="1451"/>
      <c r="J45" s="1451"/>
      <c r="K45" s="1451"/>
      <c r="L45" s="1209" t="s">
        <v>154</v>
      </c>
      <c r="M45" s="1449">
        <f t="shared" ref="M45:R45" si="15">SUM(M39:M44)</f>
        <v>718.7522355303031</v>
      </c>
      <c r="N45" s="1449">
        <f t="shared" si="15"/>
        <v>303.27171098863636</v>
      </c>
      <c r="O45" s="1449">
        <f t="shared" si="15"/>
        <v>247.59684743560604</v>
      </c>
      <c r="P45" s="1449">
        <f t="shared" si="15"/>
        <v>167.88367710606062</v>
      </c>
      <c r="Q45" s="1449">
        <f t="shared" si="15"/>
        <v>0</v>
      </c>
      <c r="R45" s="1452">
        <f t="shared" si="15"/>
        <v>0</v>
      </c>
      <c r="AG45" s="17"/>
      <c r="AH45" s="17"/>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17"/>
      <c r="AH46" s="17"/>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17"/>
      <c r="AH47" s="17"/>
      <c r="AI47"/>
      <c r="AJ47" s="159"/>
      <c r="AK47"/>
      <c r="AL47"/>
      <c r="AM47" s="22"/>
      <c r="AN47" s="23"/>
      <c r="AO47" s="22"/>
      <c r="AP47" s="22"/>
      <c r="AR47" s="11"/>
    </row>
    <row r="48" spans="2:44" ht="19.899999999999999" customHeight="1" thickBot="1" x14ac:dyDescent="0.25">
      <c r="B48" s="3356"/>
      <c r="C48" s="1350">
        <f t="shared" ref="C48:C53" si="16">C47+1</f>
        <v>41</v>
      </c>
      <c r="D48" s="1193" t="s">
        <v>390</v>
      </c>
      <c r="E48" s="1334"/>
      <c r="F48" s="1451"/>
      <c r="G48" s="1451"/>
      <c r="H48" s="1451"/>
      <c r="I48" s="1535"/>
      <c r="J48" s="1535"/>
      <c r="K48" s="1535"/>
      <c r="L48" s="1379"/>
      <c r="M48" s="1313">
        <f t="shared" ref="M48:R48" si="17">M27+M31+M45</f>
        <v>1595.5490141150076</v>
      </c>
      <c r="N48" s="1577">
        <f t="shared" si="17"/>
        <v>682.8883131371183</v>
      </c>
      <c r="O48" s="1497">
        <f t="shared" si="17"/>
        <v>551.491465341393</v>
      </c>
      <c r="P48" s="1497">
        <f t="shared" si="17"/>
        <v>361.1692356364963</v>
      </c>
      <c r="Q48" s="1497">
        <f t="shared" si="17"/>
        <v>0</v>
      </c>
      <c r="R48" s="1536">
        <f t="shared" si="17"/>
        <v>0</v>
      </c>
      <c r="AG48" s="27"/>
      <c r="AH48" s="27"/>
      <c r="AI48" s="27"/>
      <c r="AJ48" s="27"/>
      <c r="AK48" s="27"/>
      <c r="AL48" s="204"/>
      <c r="AM48" s="205"/>
      <c r="AN48" s="18"/>
      <c r="AO48" s="205"/>
      <c r="AP48" s="205"/>
      <c r="AR48" s="40"/>
    </row>
    <row r="49" spans="2:44" ht="22.25" hidden="1" customHeight="1" x14ac:dyDescent="0.2">
      <c r="B49" s="3356"/>
      <c r="C49" s="1349">
        <f t="shared" si="16"/>
        <v>42</v>
      </c>
      <c r="D49" s="1333" t="s">
        <v>393</v>
      </c>
      <c r="E49" s="1462"/>
      <c r="F49" s="1195"/>
      <c r="G49" s="1195"/>
      <c r="H49" s="1195"/>
      <c r="I49" s="1582"/>
      <c r="J49" s="1582"/>
      <c r="K49" s="1582"/>
      <c r="L49" s="1583" t="s">
        <v>154</v>
      </c>
      <c r="M49" s="1315">
        <f t="shared" ref="M49:R49" si="18">M47-M48</f>
        <v>-1595.5490141150076</v>
      </c>
      <c r="N49" s="1575">
        <f t="shared" si="18"/>
        <v>-682.8883131371183</v>
      </c>
      <c r="O49" s="1316">
        <f t="shared" si="18"/>
        <v>-551.491465341393</v>
      </c>
      <c r="P49" s="1316">
        <f t="shared" si="18"/>
        <v>-361.1692356364963</v>
      </c>
      <c r="Q49" s="1316">
        <f t="shared" si="18"/>
        <v>0</v>
      </c>
      <c r="R49" s="1317">
        <f t="shared" si="18"/>
        <v>0</v>
      </c>
      <c r="AG49" s="9"/>
      <c r="AH49" s="9"/>
      <c r="AI49" s="9"/>
      <c r="AJ49" s="9"/>
      <c r="AK49" s="9"/>
      <c r="AL49" s="19"/>
      <c r="AM49" s="520"/>
      <c r="AN49" s="521"/>
      <c r="AO49" s="520"/>
      <c r="AP49" s="520"/>
      <c r="AR49" s="9"/>
    </row>
    <row r="50" spans="2:44" ht="19.899999999999999" hidden="1" customHeight="1" thickBot="1" x14ac:dyDescent="0.25">
      <c r="B50" s="3356"/>
      <c r="C50" s="1350">
        <f t="shared" si="16"/>
        <v>43</v>
      </c>
      <c r="D50" s="2124" t="s">
        <v>568</v>
      </c>
      <c r="E50" s="1600"/>
      <c r="F50" s="1601"/>
      <c r="G50" s="1601"/>
      <c r="H50" s="1601"/>
      <c r="I50" s="1602"/>
      <c r="J50" s="1602"/>
      <c r="K50" s="1602"/>
      <c r="L50" s="1379" t="s">
        <v>158</v>
      </c>
      <c r="M50" s="1612">
        <f t="shared" ref="M50:R50" si="19">IF(M12=0,0,M49/M12)</f>
        <v>-0.42708843687623582</v>
      </c>
      <c r="N50" s="1854">
        <f t="shared" si="19"/>
        <v>-0.39637706275281481</v>
      </c>
      <c r="O50" s="1614">
        <f t="shared" si="19"/>
        <v>-0.42528742266542741</v>
      </c>
      <c r="P50" s="1614">
        <f t="shared" si="19"/>
        <v>-0.50421504346851365</v>
      </c>
      <c r="Q50" s="1614">
        <f t="shared" si="19"/>
        <v>0</v>
      </c>
      <c r="R50" s="1631">
        <f t="shared" si="19"/>
        <v>0</v>
      </c>
      <c r="AG50" s="9"/>
      <c r="AH50" s="9"/>
      <c r="AI50" s="9"/>
      <c r="AJ50" s="9"/>
      <c r="AK50" s="9"/>
      <c r="AL50" s="19"/>
      <c r="AM50" s="520"/>
      <c r="AN50" s="521"/>
      <c r="AO50" s="520"/>
      <c r="AP50" s="520"/>
      <c r="AR50" s="9"/>
    </row>
    <row r="51" spans="2:44" s="736" customFormat="1" ht="20.399999999999999" customHeight="1" thickBot="1" x14ac:dyDescent="0.3">
      <c r="B51" s="3356"/>
      <c r="C51" s="1623">
        <f t="shared" si="16"/>
        <v>44</v>
      </c>
      <c r="D51" s="1624" t="s">
        <v>569</v>
      </c>
      <c r="E51" s="1625"/>
      <c r="F51" s="1626"/>
      <c r="G51" s="1626"/>
      <c r="H51" s="1626"/>
      <c r="I51" s="1626"/>
      <c r="J51" s="1626"/>
      <c r="K51" s="1626"/>
      <c r="L51" s="1627" t="s">
        <v>154</v>
      </c>
      <c r="M51" s="1686">
        <f t="shared" ref="M51:R51" si="20">M17</f>
        <v>560</v>
      </c>
      <c r="N51" s="1628">
        <f>N17</f>
        <v>252</v>
      </c>
      <c r="O51" s="1629">
        <f>O17</f>
        <v>196</v>
      </c>
      <c r="P51" s="1629">
        <f t="shared" si="20"/>
        <v>112</v>
      </c>
      <c r="Q51" s="1629">
        <f t="shared" si="20"/>
        <v>0</v>
      </c>
      <c r="R51" s="1630">
        <f t="shared" si="20"/>
        <v>0</v>
      </c>
      <c r="S51" s="747"/>
      <c r="AG51" s="17"/>
      <c r="AH51" s="17"/>
      <c r="AI51" s="17"/>
      <c r="AJ51" s="17"/>
      <c r="AK51" s="17"/>
      <c r="AL51" s="1168"/>
      <c r="AM51" s="1444"/>
      <c r="AN51" s="1445"/>
      <c r="AO51" s="1444"/>
      <c r="AP51" s="1444"/>
      <c r="AR51" s="17"/>
    </row>
    <row r="52" spans="2:44" ht="21.6" hidden="1" customHeight="1" x14ac:dyDescent="0.2">
      <c r="B52" s="3356"/>
      <c r="C52" s="1349">
        <f t="shared" si="16"/>
        <v>45</v>
      </c>
      <c r="D52" s="1185" t="s">
        <v>535</v>
      </c>
      <c r="E52" s="1318"/>
      <c r="F52" s="1182"/>
      <c r="G52" s="1182"/>
      <c r="H52" s="1182"/>
      <c r="I52" s="1621"/>
      <c r="J52" s="1621"/>
      <c r="K52" s="1621"/>
      <c r="L52" s="1213" t="s">
        <v>154</v>
      </c>
      <c r="M52" s="1313">
        <f t="shared" ref="M52:R52" si="21">M49+M51</f>
        <v>-1035.5490141150076</v>
      </c>
      <c r="N52" s="1622">
        <f t="shared" si="21"/>
        <v>-430.8883131371183</v>
      </c>
      <c r="O52" s="1537">
        <f t="shared" si="21"/>
        <v>-355.491465341393</v>
      </c>
      <c r="P52" s="1537">
        <f t="shared" si="21"/>
        <v>-249.1692356364963</v>
      </c>
      <c r="Q52" s="1537">
        <f t="shared" si="21"/>
        <v>0</v>
      </c>
      <c r="R52" s="1538">
        <f t="shared" si="21"/>
        <v>0</v>
      </c>
      <c r="AG52" s="9"/>
      <c r="AH52" s="9"/>
      <c r="AI52" s="9"/>
      <c r="AJ52" s="9"/>
      <c r="AK52" s="9"/>
      <c r="AL52" s="19"/>
      <c r="AM52" s="520"/>
      <c r="AN52" s="521"/>
      <c r="AO52" s="520"/>
      <c r="AP52" s="520"/>
      <c r="AR52" s="9"/>
    </row>
    <row r="53" spans="2:44" ht="18.7" hidden="1" customHeight="1" thickBot="1" x14ac:dyDescent="0.25">
      <c r="B53" s="3357"/>
      <c r="C53" s="1350">
        <f t="shared" si="16"/>
        <v>46</v>
      </c>
      <c r="D53" s="1853" t="s">
        <v>570</v>
      </c>
      <c r="E53" s="1334"/>
      <c r="F53" s="1451"/>
      <c r="G53" s="1451"/>
      <c r="H53" s="1451"/>
      <c r="I53" s="1535"/>
      <c r="J53" s="1535"/>
      <c r="K53" s="1535"/>
      <c r="L53" s="1379" t="s">
        <v>158</v>
      </c>
      <c r="M53" s="1612">
        <f t="shared" ref="M53:R53" si="22">IF(M12=0,0,M52/M12)</f>
        <v>-0.27719048793522472</v>
      </c>
      <c r="N53" s="1854">
        <f t="shared" si="22"/>
        <v>-0.25010567709263459</v>
      </c>
      <c r="O53" s="1614">
        <f t="shared" si="22"/>
        <v>-0.27414032414990785</v>
      </c>
      <c r="P53" s="1614">
        <f t="shared" si="22"/>
        <v>-0.3478559760386658</v>
      </c>
      <c r="Q53" s="1614">
        <f t="shared" si="22"/>
        <v>0</v>
      </c>
      <c r="R53" s="1631">
        <f t="shared" si="22"/>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3">M48-M51</f>
        <v>1035.5490141150076</v>
      </c>
      <c r="N55" s="1494">
        <f t="shared" si="23"/>
        <v>430.8883131371183</v>
      </c>
      <c r="O55" s="1494">
        <f t="shared" si="23"/>
        <v>355.491465341393</v>
      </c>
      <c r="P55" s="1494">
        <f t="shared" si="23"/>
        <v>249.1692356364963</v>
      </c>
      <c r="Q55" s="1494">
        <f t="shared" si="23"/>
        <v>0</v>
      </c>
      <c r="R55" s="1495">
        <f t="shared" si="23"/>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4">C55+1</f>
        <v>48</v>
      </c>
      <c r="D56" s="291"/>
      <c r="E56" s="1185"/>
      <c r="F56" s="1183"/>
      <c r="G56" s="1183"/>
      <c r="H56" s="1183"/>
      <c r="I56" s="1184"/>
      <c r="J56" s="1318"/>
      <c r="K56" s="1864"/>
      <c r="L56" s="1370" t="s">
        <v>101</v>
      </c>
      <c r="M56" s="1611">
        <f t="shared" ref="M56:R56" si="25">IF(M10=0,0,M$55/M10)</f>
        <v>3.0186044136145971</v>
      </c>
      <c r="N56" s="1559">
        <f t="shared" si="25"/>
        <v>2.7911793563538021</v>
      </c>
      <c r="O56" s="1559">
        <f t="shared" si="25"/>
        <v>2.9607155008190045</v>
      </c>
      <c r="P56" s="1559">
        <f t="shared" si="25"/>
        <v>3.6316163898436704</v>
      </c>
      <c r="Q56" s="1559">
        <f t="shared" si="25"/>
        <v>0</v>
      </c>
      <c r="R56" s="1560">
        <f t="shared" si="25"/>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4"/>
        <v>49</v>
      </c>
      <c r="D57" s="1688" t="s">
        <v>213</v>
      </c>
      <c r="E57" s="291"/>
      <c r="F57" s="1588"/>
      <c r="G57" s="1588"/>
      <c r="H57" s="1588"/>
      <c r="I57" s="1477"/>
      <c r="J57" s="1477"/>
      <c r="K57" s="1477"/>
      <c r="L57" s="1370" t="s">
        <v>464</v>
      </c>
      <c r="M57" s="2173">
        <f>IF($M$9=0,0,M$55/$M$9)</f>
        <v>16.770024520081094</v>
      </c>
      <c r="N57" s="2174">
        <f>IF($N$9=0,0,N$55/$N$9)</f>
        <v>15.506551979743348</v>
      </c>
      <c r="O57" s="2174">
        <f>IF($O$9=0,0,O$55/$O$9)</f>
        <v>16.448419448994471</v>
      </c>
      <c r="P57" s="2174">
        <f>IF($P$9=0,0,P$55/$P$9)</f>
        <v>20.175646610242616</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4"/>
        <v>50</v>
      </c>
      <c r="D58" s="1471" t="s">
        <v>391</v>
      </c>
      <c r="E58" s="1501" t="s">
        <v>255</v>
      </c>
      <c r="F58" s="1588"/>
      <c r="G58" s="1588"/>
      <c r="H58" s="1588"/>
      <c r="I58" s="1477"/>
      <c r="J58" s="1477"/>
      <c r="K58" s="1477"/>
      <c r="L58" s="1370" t="s">
        <v>374</v>
      </c>
      <c r="M58" s="1611">
        <f t="shared" ref="M58:R59" si="26">IF(M11=0,0,M$55/M11)</f>
        <v>0</v>
      </c>
      <c r="N58" s="1584">
        <f>IF(N11=0,0,N$55/N11)</f>
        <v>0</v>
      </c>
      <c r="O58" s="1584">
        <f t="shared" si="26"/>
        <v>0</v>
      </c>
      <c r="P58" s="1584">
        <f t="shared" si="26"/>
        <v>0</v>
      </c>
      <c r="Q58" s="1584">
        <f t="shared" si="26"/>
        <v>0</v>
      </c>
      <c r="R58" s="1585">
        <f t="shared" si="26"/>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4"/>
        <v>51</v>
      </c>
      <c r="D59" s="1589"/>
      <c r="E59" s="1476"/>
      <c r="F59" s="1476"/>
      <c r="G59" s="1476"/>
      <c r="H59" s="1476"/>
      <c r="I59" s="1590"/>
      <c r="J59" s="1590"/>
      <c r="K59" s="1590"/>
      <c r="L59" s="1370" t="s">
        <v>315</v>
      </c>
      <c r="M59" s="1304">
        <f t="shared" si="26"/>
        <v>0.27719048793522472</v>
      </c>
      <c r="N59" s="1586">
        <f t="shared" si="26"/>
        <v>0.25010567709263459</v>
      </c>
      <c r="O59" s="1586">
        <f t="shared" si="26"/>
        <v>0.27414032414990785</v>
      </c>
      <c r="P59" s="1586">
        <f t="shared" si="26"/>
        <v>0.3478559760386658</v>
      </c>
      <c r="Q59" s="1586">
        <f t="shared" si="26"/>
        <v>0</v>
      </c>
      <c r="R59" s="1587">
        <f t="shared" si="26"/>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7">M59/$F$60*10</f>
        <v>7.699735775978464E-2</v>
      </c>
      <c r="N60" s="1586">
        <f t="shared" si="27"/>
        <v>6.9473799192398503E-2</v>
      </c>
      <c r="O60" s="1586">
        <f t="shared" si="27"/>
        <v>7.6150090041641069E-2</v>
      </c>
      <c r="P60" s="1586">
        <f t="shared" si="27"/>
        <v>9.6626660010740509E-2</v>
      </c>
      <c r="Q60" s="1586">
        <f t="shared" si="27"/>
        <v>0</v>
      </c>
      <c r="R60" s="1587">
        <f t="shared" si="27"/>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8">IF(M12=0,0,M55/M12)</f>
        <v>0.27719048793522472</v>
      </c>
      <c r="N61" s="1586">
        <f t="shared" si="28"/>
        <v>0.25010567709263459</v>
      </c>
      <c r="O61" s="1586">
        <f t="shared" si="28"/>
        <v>0.27414032414990785</v>
      </c>
      <c r="P61" s="1586">
        <f t="shared" si="28"/>
        <v>0.3478559760386658</v>
      </c>
      <c r="Q61" s="1586">
        <f t="shared" si="28"/>
        <v>0</v>
      </c>
      <c r="R61" s="1587">
        <f t="shared" si="28"/>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9">IF(M13=0,0,M$55/M13)</f>
        <v>0.16631429276113482</v>
      </c>
      <c r="N62" s="1856">
        <f t="shared" si="29"/>
        <v>0.15006340625558076</v>
      </c>
      <c r="O62" s="1856">
        <f t="shared" si="29"/>
        <v>0.1644841944899447</v>
      </c>
      <c r="P62" s="1856">
        <f t="shared" si="29"/>
        <v>0.20871358562319947</v>
      </c>
      <c r="Q62" s="1856">
        <f t="shared" si="29"/>
        <v>0</v>
      </c>
      <c r="R62" s="1857">
        <f t="shared" si="29"/>
        <v>0</v>
      </c>
      <c r="S62" s="246"/>
      <c r="AG62" s="375"/>
      <c r="AH62" s="375"/>
      <c r="AI62" s="373"/>
      <c r="AJ62" s="373"/>
      <c r="AK62" s="377"/>
      <c r="AL62" s="376"/>
      <c r="AM62" s="378"/>
      <c r="AN62" s="378"/>
      <c r="AO62" s="378"/>
      <c r="AP62" s="378"/>
      <c r="AR62" s="372"/>
    </row>
    <row r="63" spans="2:44" ht="22.6" customHeight="1" x14ac:dyDescent="0.2">
      <c r="B63" s="3352"/>
      <c r="C63" s="1349">
        <f t="shared" si="24"/>
        <v>54</v>
      </c>
      <c r="D63" s="2141" t="s">
        <v>598</v>
      </c>
      <c r="E63" s="1484"/>
      <c r="F63" s="1184"/>
      <c r="G63" s="1184"/>
      <c r="H63" s="1184"/>
      <c r="I63" s="1184"/>
      <c r="J63" s="1184"/>
      <c r="K63" s="1184"/>
      <c r="L63" s="1208" t="s">
        <v>154</v>
      </c>
      <c r="M63" s="1313">
        <f t="shared" ref="M63:R63" si="30">M55-M40</f>
        <v>1035.5490141150076</v>
      </c>
      <c r="N63" s="1313">
        <f t="shared" si="30"/>
        <v>430.8883131371183</v>
      </c>
      <c r="O63" s="1313">
        <f t="shared" si="30"/>
        <v>355.491465341393</v>
      </c>
      <c r="P63" s="1313">
        <f t="shared" si="30"/>
        <v>249.1692356364963</v>
      </c>
      <c r="Q63" s="1313">
        <f t="shared" si="30"/>
        <v>0</v>
      </c>
      <c r="R63" s="1320">
        <f t="shared" si="30"/>
        <v>0</v>
      </c>
      <c r="AG63" s="17"/>
      <c r="AH63" s="17"/>
      <c r="AI63" s="17"/>
      <c r="AJ63" s="17"/>
      <c r="AK63" s="238"/>
      <c r="AL63" s="19"/>
      <c r="AM63" s="22"/>
      <c r="AN63" s="23"/>
      <c r="AO63" s="22"/>
      <c r="AP63" s="22"/>
      <c r="AR63" s="12"/>
    </row>
    <row r="64" spans="2:44" ht="22.6" customHeight="1" x14ac:dyDescent="0.2">
      <c r="B64" s="3352"/>
      <c r="C64" s="1349">
        <f t="shared" si="24"/>
        <v>55</v>
      </c>
      <c r="D64" s="2141"/>
      <c r="E64" s="1484"/>
      <c r="F64" s="1184"/>
      <c r="G64" s="1184"/>
      <c r="H64" s="1184"/>
      <c r="I64" s="1184"/>
      <c r="J64" s="1184"/>
      <c r="K64" s="1184"/>
      <c r="L64" s="1370" t="s">
        <v>464</v>
      </c>
      <c r="M64" s="2173">
        <f>IF($M$9=0,0,M$63/$M$9)</f>
        <v>16.770024520081094</v>
      </c>
      <c r="N64" s="2174">
        <f>IF($N$9=0,0,N$63/$N$9)</f>
        <v>15.506551979743348</v>
      </c>
      <c r="O64" s="2174">
        <f>IF($O$9=0,0,O$63/$O$9)</f>
        <v>16.448419448994471</v>
      </c>
      <c r="P64" s="2174">
        <f>IF($P$9=0,0,P$63/$P$9)</f>
        <v>20.175646610242616</v>
      </c>
      <c r="Q64" s="2174">
        <f>IF($Q$9=0,0,Q$63/$Q$9)</f>
        <v>0</v>
      </c>
      <c r="R64" s="2175">
        <f>IF($R$9=0,0,R$63/$R$9)</f>
        <v>0</v>
      </c>
      <c r="AG64" s="17"/>
      <c r="AH64" s="17"/>
      <c r="AI64" s="17"/>
      <c r="AJ64" s="17"/>
      <c r="AK64" s="238"/>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1">IF(M12=0,0,M$63/M12)</f>
        <v>0.27719048793522472</v>
      </c>
      <c r="N65" s="1615">
        <f t="shared" si="31"/>
        <v>0.25010567709263459</v>
      </c>
      <c r="O65" s="1615">
        <f t="shared" si="31"/>
        <v>0.27414032414990785</v>
      </c>
      <c r="P65" s="1615">
        <f t="shared" si="31"/>
        <v>0.3478559760386658</v>
      </c>
      <c r="Q65" s="1615">
        <f t="shared" si="31"/>
        <v>0</v>
      </c>
      <c r="R65" s="1618">
        <f t="shared" si="31"/>
        <v>0</v>
      </c>
      <c r="AG65" s="104"/>
      <c r="AH65" s="104"/>
      <c r="AI65" s="104"/>
      <c r="AJ65" s="104"/>
      <c r="AK65" s="239"/>
      <c r="AL65" s="19"/>
      <c r="AM65" s="240"/>
      <c r="AN65" s="241"/>
      <c r="AO65" s="240"/>
      <c r="AP65" s="240"/>
      <c r="AR65" s="12"/>
    </row>
    <row r="66" spans="2:44" s="371" customFormat="1" ht="16.5" customHeight="1" thickBot="1" x14ac:dyDescent="0.25">
      <c r="B66" s="3352"/>
      <c r="C66" s="1372">
        <f t="shared" si="24"/>
        <v>57</v>
      </c>
      <c r="D66" s="570"/>
      <c r="E66" s="2142" t="s">
        <v>392</v>
      </c>
      <c r="F66" s="379"/>
      <c r="G66" s="379"/>
      <c r="H66" s="379"/>
      <c r="I66" s="569"/>
      <c r="J66" s="569"/>
      <c r="K66" s="569"/>
      <c r="L66" s="1216" t="s">
        <v>159</v>
      </c>
      <c r="M66" s="1616">
        <f t="shared" si="31"/>
        <v>0.16631429276113482</v>
      </c>
      <c r="N66" s="1617">
        <f t="shared" si="31"/>
        <v>0.15006340625558076</v>
      </c>
      <c r="O66" s="1617">
        <f t="shared" si="31"/>
        <v>0.1644841944899447</v>
      </c>
      <c r="P66" s="1617">
        <f t="shared" si="31"/>
        <v>0.20871358562319947</v>
      </c>
      <c r="Q66" s="1617">
        <f t="shared" si="31"/>
        <v>0</v>
      </c>
      <c r="R66" s="1619">
        <f t="shared" si="31"/>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2">M19+M20+M21+M22+M23+M31</f>
        <v>698.85364722412862</v>
      </c>
      <c r="N68" s="1316">
        <f t="shared" si="32"/>
        <v>314.39133411909</v>
      </c>
      <c r="O68" s="1316">
        <f t="shared" si="32"/>
        <v>244.58024078559495</v>
      </c>
      <c r="P68" s="1316">
        <f t="shared" si="32"/>
        <v>139.88207231944369</v>
      </c>
      <c r="Q68" s="1316">
        <f t="shared" si="32"/>
        <v>0</v>
      </c>
      <c r="R68" s="1317">
        <f t="shared" si="32"/>
        <v>0</v>
      </c>
      <c r="AG68" s="233"/>
      <c r="AH68" s="233"/>
      <c r="AI68" s="233"/>
      <c r="AJ68" s="233"/>
      <c r="AK68" s="233"/>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3">IF(M68=0,0,M68/M12)</f>
        <v>0.1870655863015033</v>
      </c>
      <c r="N69" s="1487">
        <f t="shared" si="33"/>
        <v>0.18248593682996819</v>
      </c>
      <c r="O69" s="1487">
        <f t="shared" si="33"/>
        <v>0.18861017218862153</v>
      </c>
      <c r="P69" s="1487">
        <f t="shared" si="33"/>
        <v>0.19528419980377454</v>
      </c>
      <c r="Q69" s="1487">
        <f t="shared" si="33"/>
        <v>0</v>
      </c>
      <c r="R69" s="1488">
        <f t="shared" si="33"/>
        <v>0</v>
      </c>
      <c r="AG69" s="233"/>
      <c r="AH69" s="233"/>
      <c r="AI69" s="233"/>
      <c r="AJ69" s="233"/>
      <c r="AK69" s="233"/>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4">M24+M25+M26+M41+M39</f>
        <v>652.92161689087902</v>
      </c>
      <c r="N70" s="1313">
        <f t="shared" si="34"/>
        <v>258.79879151802834</v>
      </c>
      <c r="O70" s="1313">
        <f t="shared" si="34"/>
        <v>221.59041205579805</v>
      </c>
      <c r="P70" s="1313">
        <f t="shared" si="34"/>
        <v>172.5324133170526</v>
      </c>
      <c r="Q70" s="1313">
        <f t="shared" si="34"/>
        <v>0</v>
      </c>
      <c r="R70" s="1320">
        <f t="shared" si="34"/>
        <v>0</v>
      </c>
      <c r="AG70" s="233"/>
      <c r="AH70" s="233"/>
      <c r="AI70" s="233"/>
      <c r="AJ70" s="233"/>
      <c r="AK70" s="233"/>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5">IF(M70=0,0,M70/M12)</f>
        <v>0.17477073426998468</v>
      </c>
      <c r="N71" s="1614">
        <f t="shared" si="35"/>
        <v>0.15021768985127817</v>
      </c>
      <c r="O71" s="1614">
        <f t="shared" si="35"/>
        <v>0.17088136653618513</v>
      </c>
      <c r="P71" s="1614">
        <f t="shared" si="35"/>
        <v>0.24086613613995897</v>
      </c>
      <c r="Q71" s="1614">
        <f t="shared" si="35"/>
        <v>0</v>
      </c>
      <c r="R71" s="1631">
        <f t="shared" si="35"/>
        <v>0</v>
      </c>
      <c r="AG71" s="17"/>
      <c r="AH71" s="17"/>
      <c r="AI71" s="17"/>
      <c r="AJ71" s="17"/>
      <c r="AK71" s="17"/>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42" sqref="M42"/>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5">
    <mergeCell ref="S41:S42"/>
    <mergeCell ref="E1:I1"/>
    <mergeCell ref="I3:R3"/>
    <mergeCell ref="B6:B13"/>
    <mergeCell ref="B3:B5"/>
    <mergeCell ref="B19:B27"/>
    <mergeCell ref="D19:D23"/>
    <mergeCell ref="D24:D26"/>
    <mergeCell ref="F3:G3"/>
    <mergeCell ref="B55:B71"/>
    <mergeCell ref="B47:B53"/>
    <mergeCell ref="B28:B34"/>
    <mergeCell ref="B36:B45"/>
    <mergeCell ref="D28:K28"/>
    <mergeCell ref="D32:K32"/>
  </mergeCells>
  <phoneticPr fontId="0" type="noConversion"/>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82"/>
  <sheetViews>
    <sheetView showGridLines="0" showZeros="0" workbookViewId="0">
      <pane xSplit="12" ySplit="5" topLeftCell="M30"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4" t="s">
        <v>1100</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Grünfutter</v>
      </c>
      <c r="N5" s="2699" t="str">
        <f>VLOOKUP(W$5,$S$4:$T$13,2)</f>
        <v>Grünfutter</v>
      </c>
      <c r="O5" s="2699" t="str">
        <f>VLOOKUP(X$5,$S$4:$T$13,2)</f>
        <v>Grünfutter</v>
      </c>
      <c r="P5" s="2699" t="str">
        <f>VLOOKUP(Y$5,$S$4:$T$13,2)</f>
        <v>Grünfutter</v>
      </c>
      <c r="Q5" s="2700">
        <f>VLOOKUP(Z$5,$S$4:$T$13,2)</f>
        <v>0</v>
      </c>
      <c r="R5" s="470"/>
      <c r="S5" s="2642">
        <v>2</v>
      </c>
      <c r="T5" s="2672" t="str">
        <f>Energ.!G$57</f>
        <v>Umtriebsweide</v>
      </c>
      <c r="U5" s="2643"/>
      <c r="V5" s="2639">
        <v>4</v>
      </c>
      <c r="W5" s="2118">
        <v>4</v>
      </c>
      <c r="X5" s="2118">
        <v>4</v>
      </c>
      <c r="Y5" s="2118">
        <v>4</v>
      </c>
      <c r="Z5" s="2119">
        <v>10</v>
      </c>
      <c r="AE5" s="434"/>
      <c r="AF5" s="434"/>
      <c r="AG5" s="434"/>
    </row>
    <row r="6" spans="1:45" s="433" customFormat="1" ht="18.7"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5</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17.999999999999996</v>
      </c>
      <c r="L10" s="1224"/>
      <c r="M10" s="2652">
        <f>HLOOKUP(V$5,Energ.!$F$58:$N$66,Energ.!$A62)*100</f>
        <v>18</v>
      </c>
      <c r="N10" s="2653">
        <f>HLOOKUP(W$5,Energ.!$F$58:$N$66,Energ.!$A62)*100</f>
        <v>18</v>
      </c>
      <c r="O10" s="2658">
        <f>HLOOKUP(X$5,Energ.!$F$58:$N$66,Energ.!$A62)*100</f>
        <v>18</v>
      </c>
      <c r="P10" s="2653">
        <f>HLOOKUP(Y$5,Energ.!$F$58:$N$66,Energ.!$A62)*100</f>
        <v>18</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17.999999999999996</v>
      </c>
      <c r="L11" s="1228"/>
      <c r="M11" s="2649">
        <f>HLOOKUP(V$5,Energ.!$F$58:$N$66,Energ.!$A63)*100</f>
        <v>18</v>
      </c>
      <c r="N11" s="2650">
        <f>HLOOKUP(W$5,Energ.!$F$58:$N$66,Energ.!$A63)*100</f>
        <v>18</v>
      </c>
      <c r="O11" s="2650">
        <f>HLOOKUP(X$5,Energ.!$F$58:$N$66,Energ.!$A63)*100</f>
        <v>18</v>
      </c>
      <c r="P11" s="2650">
        <f>HLOOKUP(Y$5,Energ.!$F$58:$N$66,Energ.!$A63)*100</f>
        <v>18</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3.1999999999999997</v>
      </c>
      <c r="L12" s="1224"/>
      <c r="M12" s="2655">
        <f>HLOOKUP(V$5,Energ.!$F$58:$N$66,Energ.!$A64)</f>
        <v>3.2</v>
      </c>
      <c r="N12" s="2656">
        <f>HLOOKUP(W$5,Energ.!$F$58:$N$66,Energ.!$A64)</f>
        <v>3.2</v>
      </c>
      <c r="O12" s="2656">
        <f>HLOOKUP(X$5,Energ.!$F$58:$N$66,Energ.!$A64)</f>
        <v>3.2</v>
      </c>
      <c r="P12" s="2656">
        <f>HLOOKUP(Y$5,Energ.!$F$58:$N$66,Energ.!$A64)</f>
        <v>3.2</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0.57600000000000007</v>
      </c>
      <c r="L13" s="1231"/>
      <c r="M13" s="517">
        <f>M12*M11/100</f>
        <v>0.57600000000000007</v>
      </c>
      <c r="N13" s="518">
        <f>N12*N11/100</f>
        <v>0.57600000000000007</v>
      </c>
      <c r="O13" s="518">
        <f>O12*O11/100</f>
        <v>0.57600000000000007</v>
      </c>
      <c r="P13" s="518">
        <f>P12*P11/100</f>
        <v>0.57600000000000007</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76</v>
      </c>
      <c r="L14" s="1233"/>
      <c r="M14" s="865">
        <f>M6*(100-M8)/100</f>
        <v>26.6</v>
      </c>
      <c r="N14" s="866">
        <f>N6*(100-N8)/100</f>
        <v>19</v>
      </c>
      <c r="O14" s="866">
        <f>O6*(100-O8)/100</f>
        <v>15.2</v>
      </c>
      <c r="P14" s="866">
        <f>P6*(100-P8)/100</f>
        <v>15.2</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422.22222222222223</v>
      </c>
      <c r="L15" s="1233"/>
      <c r="M15" s="865">
        <f>IF(M10=0,0,M14/M10*100)</f>
        <v>147.77777777777777</v>
      </c>
      <c r="N15" s="866">
        <f>IF(N10=0,0,N14/N10*100)</f>
        <v>105.55555555555556</v>
      </c>
      <c r="O15" s="866">
        <f>IF(O10=0,0,O14/O10*100)</f>
        <v>84.444444444444443</v>
      </c>
      <c r="P15" s="866">
        <f>IF(P10=0,0,P14/P10*100)</f>
        <v>84.444444444444443</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131.94444444444443</v>
      </c>
      <c r="L16" s="3348"/>
      <c r="M16" s="1793">
        <f>IF(V5&lt;4,0,IF(M12=0,0,M15/M12))</f>
        <v>46.18055555555555</v>
      </c>
      <c r="N16" s="1794">
        <f>IF(W5&lt;4,0,IF(N12=0,0,N15/N12))</f>
        <v>32.986111111111107</v>
      </c>
      <c r="O16" s="1794">
        <f>IF(X5&lt;4,0,IF(O12=0,0,O15/O12))</f>
        <v>26.388888888888886</v>
      </c>
      <c r="P16" s="1794">
        <f>IF(Y5&lt;4,0,IF(P12=0,0,P15/P12))</f>
        <v>26.388888888888886</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76</v>
      </c>
      <c r="L17" s="1235"/>
      <c r="M17" s="865">
        <f>M14*(100-M9)/100</f>
        <v>26.6</v>
      </c>
      <c r="N17" s="870">
        <f>N14*(100-N9)/100</f>
        <v>19</v>
      </c>
      <c r="O17" s="870">
        <f>O14*(100-O9)/100</f>
        <v>15.2</v>
      </c>
      <c r="P17" s="870">
        <f>P14*(100-P9)/100</f>
        <v>15.2</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422.22222222222223</v>
      </c>
      <c r="L18" s="1235"/>
      <c r="M18" s="865">
        <f>IF(M11=0,0,M17/M11*100)</f>
        <v>147.77777777777777</v>
      </c>
      <c r="N18" s="870">
        <f>IF(N11=0,0,N17/N11*100)</f>
        <v>105.55555555555556</v>
      </c>
      <c r="O18" s="870">
        <f>IF(O11=0,0,O17/O11*100)</f>
        <v>84.444444444444443</v>
      </c>
      <c r="P18" s="870">
        <f>IF(P11=0,0,P17/P11*100)</f>
        <v>84.444444444444443</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6.15</v>
      </c>
      <c r="L20" s="1238"/>
      <c r="M20" s="254">
        <v>6.5</v>
      </c>
      <c r="N20" s="255">
        <v>6.3</v>
      </c>
      <c r="O20" s="255">
        <v>5.9</v>
      </c>
      <c r="P20" s="255">
        <v>5.6</v>
      </c>
      <c r="Q20" s="256"/>
    </row>
    <row r="21" spans="1:34" s="433" customFormat="1" ht="14.95" customHeight="1" x14ac:dyDescent="0.2">
      <c r="A21" s="830"/>
      <c r="B21" s="876"/>
      <c r="C21" s="849"/>
      <c r="D21" s="78"/>
      <c r="E21" s="434"/>
      <c r="F21" s="877" t="s">
        <v>134</v>
      </c>
      <c r="G21" s="427">
        <v>0.6</v>
      </c>
      <c r="H21" s="852"/>
      <c r="J21" s="877" t="s">
        <v>135</v>
      </c>
      <c r="K21" s="1229">
        <f>(M$17*M21+N$17*N21+O$17*O21+P$17*P21+Q$17*Q21)/K$17</f>
        <v>10.25</v>
      </c>
      <c r="L21" s="1238"/>
      <c r="M21" s="428">
        <f>IF($G21=0,0,M20/$G21)</f>
        <v>10.833333333333334</v>
      </c>
      <c r="N21" s="429">
        <f>IF($G21=0,0,N20/$G21)</f>
        <v>10.5</v>
      </c>
      <c r="O21" s="429">
        <f>IF($G21=0,0,O20/$G21)</f>
        <v>9.8333333333333339</v>
      </c>
      <c r="P21" s="429">
        <f>IF($G21=0,0,P20/$G21)</f>
        <v>9.3333333333333339</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4674</v>
      </c>
      <c r="L22" s="1240"/>
      <c r="M22" s="385">
        <f t="shared" ref="M22:Q23" si="0">M$17*M20*10</f>
        <v>1729</v>
      </c>
      <c r="N22" s="387">
        <f t="shared" si="0"/>
        <v>1197</v>
      </c>
      <c r="O22" s="387">
        <f t="shared" si="0"/>
        <v>896.80000000000007</v>
      </c>
      <c r="P22" s="387">
        <f t="shared" si="0"/>
        <v>851.19999999999993</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7790.0000000000009</v>
      </c>
      <c r="L23" s="1242"/>
      <c r="M23" s="386">
        <f t="shared" si="0"/>
        <v>2881.666666666667</v>
      </c>
      <c r="N23" s="388">
        <f t="shared" si="0"/>
        <v>1995</v>
      </c>
      <c r="O23" s="388">
        <f t="shared" si="0"/>
        <v>1494.6666666666667</v>
      </c>
      <c r="P23" s="388">
        <f t="shared" si="0"/>
        <v>1418.6666666666667</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1005.576656</v>
      </c>
      <c r="M34" s="894">
        <f>$L34*M$7/100</f>
        <v>351.9518296</v>
      </c>
      <c r="N34" s="895">
        <f>$L34*N$7/100</f>
        <v>251.39416399999999</v>
      </c>
      <c r="O34" s="895">
        <f>$L34*O$7/100</f>
        <v>201.11533120000001</v>
      </c>
      <c r="P34" s="895">
        <f>$L34*P$7/100</f>
        <v>201.11533120000001</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2.72</v>
      </c>
      <c r="I36" s="112">
        <v>-50</v>
      </c>
      <c r="J36" s="913"/>
      <c r="K36" s="1255">
        <f>H36*$K$14+I36</f>
        <v>156.72000000000003</v>
      </c>
      <c r="L36" s="1256">
        <f>K36*$F36</f>
        <v>559.49040000000002</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0.8</v>
      </c>
      <c r="I37" s="112"/>
      <c r="J37" s="913"/>
      <c r="K37" s="1255">
        <f>H37*$K$14+I37</f>
        <v>60.800000000000004</v>
      </c>
      <c r="L37" s="1256">
        <f>K37*$F37</f>
        <v>157.72736000000003</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3.13</v>
      </c>
      <c r="I38" s="112"/>
      <c r="J38" s="913"/>
      <c r="K38" s="1255">
        <f>H38*$K$14+I38</f>
        <v>237.88</v>
      </c>
      <c r="L38" s="1256">
        <f>K38*$F38</f>
        <v>220.80021600000001</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0.45</v>
      </c>
      <c r="I39" s="115"/>
      <c r="J39" s="920"/>
      <c r="K39" s="1257">
        <f>H39*$K$14+I39</f>
        <v>34.200000000000003</v>
      </c>
      <c r="L39" s="1258">
        <f>K39*$F39</f>
        <v>67.558679999999995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243.14827557200005</v>
      </c>
      <c r="M43" s="931">
        <f>SUM(Z46:Z56)</f>
        <v>69.653405256800013</v>
      </c>
      <c r="N43" s="931">
        <f>SUM(AA46:AA56)</f>
        <v>63.742514347600007</v>
      </c>
      <c r="O43" s="931">
        <f>SUM(AB46:AB56)</f>
        <v>57.831623438400001</v>
      </c>
      <c r="P43" s="931">
        <f>SUM(AC46:AC56)</f>
        <v>51.920732529200009</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20</v>
      </c>
      <c r="C46" s="103"/>
      <c r="D46" s="132"/>
      <c r="E46" s="438"/>
      <c r="F46" s="438"/>
      <c r="G46" s="399">
        <f>IF($B46=0,0,VLOOKUP($B46,Arbeitsgänge!$B$26:$M$78,6))</f>
        <v>54</v>
      </c>
      <c r="H46" s="424">
        <f>IF($B46=0,0,VLOOKUP($B46,Arbeitsgänge!$B$26:$M$78,11))</f>
        <v>0.48</v>
      </c>
      <c r="I46" s="400">
        <f>IF($B46=0,0,VLOOKUP($B46,Arbeitsgänge!$B$26:$T$79,12))</f>
        <v>8.1585205184000014</v>
      </c>
      <c r="J46" s="493">
        <f>SUM(M46:Q46)</f>
        <v>1</v>
      </c>
      <c r="K46" s="1266">
        <f t="shared" ref="K46:K56" si="1">J46*H46</f>
        <v>0.48</v>
      </c>
      <c r="L46" s="1256">
        <f t="shared" ref="L46:L56" si="2">J46*I46</f>
        <v>8.1585205184000014</v>
      </c>
      <c r="M46" s="259">
        <v>0.25</v>
      </c>
      <c r="N46" s="260">
        <v>0.25</v>
      </c>
      <c r="O46" s="260">
        <v>0.25</v>
      </c>
      <c r="P46" s="260">
        <v>0.25</v>
      </c>
      <c r="Q46" s="261"/>
      <c r="R46" s="449"/>
      <c r="S46" s="449"/>
      <c r="T46" s="406">
        <f t="shared" ref="T46:X56" si="3">IF(M46&lt;&gt;0,M46*$H46,0)</f>
        <v>0.12</v>
      </c>
      <c r="U46" s="407">
        <f t="shared" si="3"/>
        <v>0.12</v>
      </c>
      <c r="V46" s="407">
        <f t="shared" si="3"/>
        <v>0.12</v>
      </c>
      <c r="W46" s="407">
        <f t="shared" si="3"/>
        <v>0.12</v>
      </c>
      <c r="X46" s="408">
        <f t="shared" si="3"/>
        <v>0</v>
      </c>
      <c r="Y46" s="434"/>
      <c r="Z46" s="406">
        <f t="shared" ref="Z46:AD56" si="4">IF(M46&lt;&gt;0,M46*$I46,0)</f>
        <v>2.0396301296000003</v>
      </c>
      <c r="AA46" s="407">
        <f t="shared" si="4"/>
        <v>2.0396301296000003</v>
      </c>
      <c r="AB46" s="407">
        <f t="shared" si="4"/>
        <v>2.0396301296000003</v>
      </c>
      <c r="AC46" s="407">
        <f t="shared" si="4"/>
        <v>2.0396301296000003</v>
      </c>
      <c r="AD46" s="408">
        <f t="shared" si="4"/>
        <v>0</v>
      </c>
      <c r="AE46" s="434"/>
      <c r="AF46" s="434"/>
      <c r="AG46" s="434"/>
      <c r="AH46" s="434"/>
      <c r="AI46" s="434"/>
      <c r="AJ46" s="434"/>
      <c r="AK46" s="434"/>
      <c r="AL46" s="434"/>
      <c r="AM46" s="434"/>
    </row>
    <row r="47" spans="1:39" s="436" customFormat="1" ht="14.95" customHeight="1" x14ac:dyDescent="0.2">
      <c r="A47" s="887" t="s">
        <v>282</v>
      </c>
      <c r="B47" s="1415">
        <v>19</v>
      </c>
      <c r="C47" s="103"/>
      <c r="D47" s="132"/>
      <c r="E47" s="438"/>
      <c r="F47" s="438"/>
      <c r="G47" s="399">
        <f>IF($B47=0,0,VLOOKUP($B47,Arbeitsgänge!$B$26:$M$78,6))</f>
        <v>45</v>
      </c>
      <c r="H47" s="424">
        <f>IF($B47=0,0,VLOOKUP($B47,Arbeitsgänge!$B$26:$O$78,11))</f>
        <v>0.86</v>
      </c>
      <c r="I47" s="400">
        <f>IF($B47=0,0,VLOOKUP($B47,Arbeitsgänge!$B$26:$T$79,12))</f>
        <v>10.375900503999997</v>
      </c>
      <c r="J47" s="493">
        <f t="shared" ref="J47:J56" si="5">SUM(M47:Q47)</f>
        <v>1</v>
      </c>
      <c r="K47" s="1266">
        <f t="shared" si="1"/>
        <v>0.86</v>
      </c>
      <c r="L47" s="1256">
        <f t="shared" si="2"/>
        <v>10.375900503999997</v>
      </c>
      <c r="M47" s="259">
        <v>0.25</v>
      </c>
      <c r="N47" s="260">
        <v>0.25</v>
      </c>
      <c r="O47" s="260">
        <v>0.25</v>
      </c>
      <c r="P47" s="260">
        <v>0.25</v>
      </c>
      <c r="Q47" s="261"/>
      <c r="R47" s="449"/>
      <c r="S47" s="449"/>
      <c r="T47" s="406">
        <f t="shared" si="3"/>
        <v>0.215</v>
      </c>
      <c r="U47" s="407">
        <f t="shared" si="3"/>
        <v>0.215</v>
      </c>
      <c r="V47" s="407">
        <f t="shared" si="3"/>
        <v>0.215</v>
      </c>
      <c r="W47" s="407">
        <f t="shared" si="3"/>
        <v>0.215</v>
      </c>
      <c r="X47" s="408">
        <f t="shared" si="3"/>
        <v>0</v>
      </c>
      <c r="Y47" s="434"/>
      <c r="Z47" s="406">
        <f t="shared" si="4"/>
        <v>2.5939751259999992</v>
      </c>
      <c r="AA47" s="407">
        <f t="shared" si="4"/>
        <v>2.5939751259999992</v>
      </c>
      <c r="AB47" s="407">
        <f t="shared" si="4"/>
        <v>2.5939751259999992</v>
      </c>
      <c r="AC47" s="407">
        <f t="shared" si="4"/>
        <v>2.5939751259999992</v>
      </c>
      <c r="AD47" s="408">
        <f t="shared" si="4"/>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29</v>
      </c>
      <c r="C50" s="103"/>
      <c r="D50" s="132"/>
      <c r="E50" s="438"/>
      <c r="F50" s="438"/>
      <c r="G50" s="399">
        <f>IF($B50=0,0,VLOOKUP($B50,Arbeitsgänge!$B$26:$M$78,6))</f>
        <v>67</v>
      </c>
      <c r="H50" s="424">
        <f>IF($B50=0,0,VLOOKUP($B50,Arbeitsgänge!$B$26:$O$78,11))</f>
        <v>3.07</v>
      </c>
      <c r="I50" s="400">
        <f>IF($B50=0,0,VLOOKUP($B50,Arbeitsgänge!$B$26:$T$79,12))</f>
        <v>59.108909092000005</v>
      </c>
      <c r="J50" s="493">
        <f t="shared" si="5"/>
        <v>3.8</v>
      </c>
      <c r="K50" s="1266">
        <f t="shared" si="1"/>
        <v>11.665999999999999</v>
      </c>
      <c r="L50" s="1256">
        <f t="shared" si="2"/>
        <v>224.61385454960001</v>
      </c>
      <c r="M50" s="259">
        <v>1.1000000000000001</v>
      </c>
      <c r="N50" s="260">
        <v>1</v>
      </c>
      <c r="O50" s="260">
        <v>0.9</v>
      </c>
      <c r="P50" s="260">
        <v>0.8</v>
      </c>
      <c r="Q50" s="261"/>
      <c r="R50" s="449"/>
      <c r="S50" s="449"/>
      <c r="T50" s="406">
        <f t="shared" si="3"/>
        <v>3.3770000000000002</v>
      </c>
      <c r="U50" s="407">
        <f t="shared" si="3"/>
        <v>3.07</v>
      </c>
      <c r="V50" s="407">
        <f t="shared" si="3"/>
        <v>2.7629999999999999</v>
      </c>
      <c r="W50" s="407">
        <f t="shared" si="3"/>
        <v>2.456</v>
      </c>
      <c r="X50" s="408">
        <f t="shared" si="3"/>
        <v>0</v>
      </c>
      <c r="Y50" s="434"/>
      <c r="Z50" s="406">
        <f t="shared" si="4"/>
        <v>65.019800001200011</v>
      </c>
      <c r="AA50" s="407">
        <f t="shared" si="4"/>
        <v>59.108909092000005</v>
      </c>
      <c r="AB50" s="407">
        <f t="shared" si="4"/>
        <v>53.198018182800006</v>
      </c>
      <c r="AC50" s="407">
        <f t="shared" si="4"/>
        <v>47.287127273600007</v>
      </c>
      <c r="AD50" s="408">
        <f t="shared" si="4"/>
        <v>0</v>
      </c>
      <c r="AE50" s="434"/>
      <c r="AF50" s="434"/>
      <c r="AG50" s="434"/>
      <c r="AH50" s="434"/>
      <c r="AI50" s="434"/>
      <c r="AJ50" s="434"/>
      <c r="AK50" s="434"/>
      <c r="AL50" s="434"/>
      <c r="AM50" s="434"/>
    </row>
    <row r="51" spans="1:39" s="436" customFormat="1" ht="14.95" customHeight="1" x14ac:dyDescent="0.2">
      <c r="A51" s="887" t="s">
        <v>282</v>
      </c>
      <c r="B51" s="1415">
        <v>22</v>
      </c>
      <c r="C51" s="103"/>
      <c r="D51" s="132"/>
      <c r="E51" s="438"/>
      <c r="F51" s="438"/>
      <c r="G51" s="399">
        <f>IF($B51=0,0,VLOOKUP($B51,Arbeitsgänge!$B$26:$M$78,6))</f>
        <v>0</v>
      </c>
      <c r="H51" s="424">
        <f>IF($B51=0,0,VLOOKUP($B51,Arbeitsgänge!$B$26:$O$78,11))</f>
        <v>10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22</v>
      </c>
      <c r="C52" s="103"/>
      <c r="D52" s="132"/>
      <c r="E52" s="438"/>
      <c r="F52" s="438"/>
      <c r="G52" s="399">
        <f>IF($B52=0,0,VLOOKUP($B52,Arbeitsgänge!$B$26:$M$78,6))</f>
        <v>0</v>
      </c>
      <c r="H52" s="424">
        <f>IF($B52=0,0,VLOOKUP($B52,Arbeitsgänge!$B$26:$O$78,11))</f>
        <v>10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49</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13.006</v>
      </c>
      <c r="L57" s="1270"/>
      <c r="M57" s="944">
        <f>SUM(T46:T56)</f>
        <v>3.7120000000000002</v>
      </c>
      <c r="N57" s="945">
        <f>SUM(U46:U56)</f>
        <v>3.4049999999999998</v>
      </c>
      <c r="O57" s="945">
        <f>SUM(V46:V56)</f>
        <v>3.0979999999999999</v>
      </c>
      <c r="P57" s="945">
        <f>SUM(W46:W56)</f>
        <v>2.7909999999999999</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50</v>
      </c>
      <c r="H58" s="800" t="s">
        <v>487</v>
      </c>
      <c r="I58" s="800"/>
      <c r="J58" s="950"/>
      <c r="K58" s="1271">
        <f>SUM(M58:Q58)</f>
        <v>19.509</v>
      </c>
      <c r="L58" s="1272"/>
      <c r="M58" s="951">
        <f>M57+M57*$G$58/100</f>
        <v>5.5680000000000005</v>
      </c>
      <c r="N58" s="952">
        <f>N57+N57*$G$58/100</f>
        <v>5.1074999999999999</v>
      </c>
      <c r="O58" s="952">
        <f>O57+O57*$G$58/100</f>
        <v>4.6470000000000002</v>
      </c>
      <c r="P58" s="952">
        <f>P57+P57*$G$58/100</f>
        <v>4.1864999999999997</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15.469999999999999</v>
      </c>
      <c r="M59" s="886">
        <f>SUM(T61:T63)</f>
        <v>3.8674999999999997</v>
      </c>
      <c r="N59" s="870">
        <f>SUM(U61:U63)</f>
        <v>3.8674999999999997</v>
      </c>
      <c r="O59" s="870">
        <f>SUM(V61:V63)</f>
        <v>3.8674999999999997</v>
      </c>
      <c r="P59" s="870">
        <f>SUM(W61:W63)</f>
        <v>3.8674999999999997</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120"/>
      <c r="E62" s="2078"/>
      <c r="F62" s="2078"/>
      <c r="G62" s="2243"/>
      <c r="H62" s="755"/>
      <c r="I62" s="756"/>
      <c r="J62" s="2070"/>
      <c r="K62" s="1718"/>
      <c r="L62" s="1284">
        <f>J62*H62</f>
        <v>0</v>
      </c>
      <c r="M62" s="2244"/>
      <c r="N62" s="2245"/>
      <c r="O62" s="2245"/>
      <c r="P62" s="2245"/>
      <c r="Q62" s="2246"/>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0.17999999999999997</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0</v>
      </c>
      <c r="M67" s="886">
        <f t="shared" si="7"/>
        <v>0</v>
      </c>
      <c r="N67" s="870">
        <f t="shared" si="7"/>
        <v>0</v>
      </c>
      <c r="O67" s="870">
        <f t="shared" si="7"/>
        <v>0</v>
      </c>
      <c r="P67" s="870">
        <f t="shared" si="7"/>
        <v>0</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8">K16</f>
        <v>131.94444444444443</v>
      </c>
      <c r="L77" s="2121">
        <f t="shared" si="8"/>
        <v>0</v>
      </c>
      <c r="M77" s="2121">
        <f t="shared" si="8"/>
        <v>46.18055555555555</v>
      </c>
      <c r="N77" s="2121">
        <f t="shared" si="8"/>
        <v>32.986111111111107</v>
      </c>
      <c r="O77" s="2121">
        <f t="shared" si="8"/>
        <v>26.388888888888886</v>
      </c>
      <c r="P77" s="2121">
        <f t="shared" si="8"/>
        <v>26.388888888888886</v>
      </c>
      <c r="Q77" s="2121">
        <f t="shared" si="8"/>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18" activePane="bottomRight" state="frozen"/>
      <selection pane="bottomRight" activeCell="K6" sqref="K6"/>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912833"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1912834"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1912835"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1912836"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1912837"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1912838"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1912839"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1912840"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1912841"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1912842"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1912843"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1912844"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1912845"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1912846"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1912847"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1912848" r:id="rId20" name="Drop Down 16">
              <controlPr defaultSize="0" autoLine="0" autoPict="0">
                <anchor moveWithCells="1">
                  <from>
                    <xdr:col>3</xdr:col>
                    <xdr:colOff>25879</xdr:colOff>
                    <xdr:row>24</xdr:row>
                    <xdr:rowOff>189781</xdr:rowOff>
                  </from>
                  <to>
                    <xdr:col>9</xdr:col>
                    <xdr:colOff>138023</xdr:colOff>
                    <xdr:row>25</xdr:row>
                    <xdr:rowOff>155275</xdr:rowOff>
                  </to>
                </anchor>
              </controlPr>
            </control>
          </mc:Choice>
        </mc:AlternateContent>
        <mc:AlternateContent xmlns:mc="http://schemas.openxmlformats.org/markup-compatibility/2006">
          <mc:Choice Requires="x14">
            <control shapeId="1912849" r:id="rId21" name="Drop Down 17">
              <controlPr defaultSize="0" autoLine="0" autoPict="0">
                <anchor moveWithCells="1">
                  <from>
                    <xdr:col>3</xdr:col>
                    <xdr:colOff>25879</xdr:colOff>
                    <xdr:row>27</xdr:row>
                    <xdr:rowOff>0</xdr:rowOff>
                  </from>
                  <to>
                    <xdr:col>9</xdr:col>
                    <xdr:colOff>120770</xdr:colOff>
                    <xdr:row>27</xdr:row>
                    <xdr:rowOff>172528</xdr:rowOff>
                  </to>
                </anchor>
              </controlPr>
            </control>
          </mc:Choice>
        </mc:AlternateContent>
        <mc:AlternateContent xmlns:mc="http://schemas.openxmlformats.org/markup-compatibility/2006">
          <mc:Choice Requires="x14">
            <control shapeId="1912850" r:id="rId22" name="Drop Down 18">
              <controlPr defaultSize="0" autoLine="0" autoPict="0">
                <anchor moveWithCells="1">
                  <from>
                    <xdr:col>3</xdr:col>
                    <xdr:colOff>25879</xdr:colOff>
                    <xdr:row>28</xdr:row>
                    <xdr:rowOff>25879</xdr:rowOff>
                  </from>
                  <to>
                    <xdr:col>9</xdr:col>
                    <xdr:colOff>138023</xdr:colOff>
                    <xdr:row>29</xdr:row>
                    <xdr:rowOff>0</xdr:rowOff>
                  </to>
                </anchor>
              </controlPr>
            </control>
          </mc:Choice>
        </mc:AlternateContent>
        <mc:AlternateContent xmlns:mc="http://schemas.openxmlformats.org/markup-compatibility/2006">
          <mc:Choice Requires="x14">
            <control shapeId="1912851" r:id="rId23" name="Drop Down 19">
              <controlPr defaultSize="0" autoLine="0" autoPict="0">
                <anchor moveWithCells="1">
                  <from>
                    <xdr:col>3</xdr:col>
                    <xdr:colOff>25879</xdr:colOff>
                    <xdr:row>25</xdr:row>
                    <xdr:rowOff>181155</xdr:rowOff>
                  </from>
                  <to>
                    <xdr:col>9</xdr:col>
                    <xdr:colOff>120770</xdr:colOff>
                    <xdr:row>26</xdr:row>
                    <xdr:rowOff>155275</xdr:rowOff>
                  </to>
                </anchor>
              </controlPr>
            </control>
          </mc:Choice>
        </mc:AlternateContent>
        <mc:AlternateContent xmlns:mc="http://schemas.openxmlformats.org/markup-compatibility/2006">
          <mc:Choice Requires="x14">
            <control shapeId="1912852"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1912853"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98"/>
  <sheetViews>
    <sheetView showGridLines="0" showZeros="0" zoomScale="80" zoomScaleNormal="80" workbookViewId="0">
      <pane xSplit="13" ySplit="5" topLeftCell="N6"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50.62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'Grün4(a)'!K2</f>
        <v>Wiese 4xGrünfutter</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'Grün4(a)'!H3</f>
        <v xml:space="preserve">Frischfutterernte, eigenmechanisiert, Ladewagen 4t Nm,28 m³, Übersaat alle fünf Jahre </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'Grün4(a)'!M5</f>
        <v>Grünfutter</v>
      </c>
      <c r="O5" s="2679" t="str">
        <f>'Grün4(a)'!N5</f>
        <v>Grünfutter</v>
      </c>
      <c r="P5" s="2679" t="str">
        <f>'Grün4(a)'!O5</f>
        <v>Grünfutter</v>
      </c>
      <c r="Q5" s="2679" t="str">
        <f>'Grün4(a)'!P5</f>
        <v>Grünfutter</v>
      </c>
      <c r="R5" s="2680">
        <f>'Grün4(a)'!Q5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'Grün4(a)'!K6</f>
        <v>80</v>
      </c>
      <c r="N6" s="1361">
        <f>'Grün4(a)'!M6</f>
        <v>28</v>
      </c>
      <c r="O6" s="1361">
        <f>'Grün4(a)'!N6</f>
        <v>20</v>
      </c>
      <c r="P6" s="1361">
        <f>'Grün4(a)'!O6</f>
        <v>16</v>
      </c>
      <c r="Q6" s="1361">
        <f>'Grün4(a)'!P6</f>
        <v>16</v>
      </c>
      <c r="R6" s="1362">
        <f>'Grün4(a)'!Q6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59"/>
      <c r="J7" s="2759"/>
      <c r="K7" s="2759"/>
      <c r="L7" s="425" t="s">
        <v>72</v>
      </c>
      <c r="M7" s="1291">
        <f>'Grün4(a)'!K14</f>
        <v>76</v>
      </c>
      <c r="N7" s="391">
        <f>'Grün4(a)'!M14</f>
        <v>26.6</v>
      </c>
      <c r="O7" s="391">
        <f>'Grün4(a)'!N14</f>
        <v>19</v>
      </c>
      <c r="P7" s="391">
        <f>'Grün4(a)'!O14</f>
        <v>15.2</v>
      </c>
      <c r="Q7" s="391">
        <f>'Grün4(a)'!P14</f>
        <v>15.2</v>
      </c>
      <c r="R7" s="1299">
        <f>'Grün4(a)'!Q14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'Grün4(a)'!K15</f>
        <v>422.22222222222223</v>
      </c>
      <c r="N8" s="404">
        <f>'Grün4(a)'!M15</f>
        <v>147.77777777777777</v>
      </c>
      <c r="O8" s="404">
        <f>'Grün4(a)'!N15</f>
        <v>105.55555555555556</v>
      </c>
      <c r="P8" s="404">
        <f>'Grün4(a)'!O15</f>
        <v>84.444444444444443</v>
      </c>
      <c r="Q8" s="404">
        <f>'Grün4(a)'!P15</f>
        <v>84.444444444444443</v>
      </c>
      <c r="R8" s="1201">
        <f>'Grün4(a)'!Q15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59"/>
      <c r="J9" s="2759"/>
      <c r="K9" s="2759"/>
      <c r="L9" s="425" t="s">
        <v>72</v>
      </c>
      <c r="M9" s="1200">
        <f>'Grün4(a)'!K17</f>
        <v>76</v>
      </c>
      <c r="N9" s="391">
        <f>'Grün4(a)'!M17</f>
        <v>26.6</v>
      </c>
      <c r="O9" s="391">
        <f>'Grün4(a)'!N17</f>
        <v>19</v>
      </c>
      <c r="P9" s="391">
        <f>'Grün4(a)'!O17</f>
        <v>15.2</v>
      </c>
      <c r="Q9" s="391">
        <f>'Grün4(a)'!P17</f>
        <v>15.2</v>
      </c>
      <c r="R9" s="1299">
        <f>'Grün4(a)'!Q17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59"/>
      <c r="J10" s="2759"/>
      <c r="K10" s="2759"/>
      <c r="L10" s="425" t="s">
        <v>376</v>
      </c>
      <c r="M10" s="1181">
        <f>'Grün4(a)'!K18</f>
        <v>422.22222222222223</v>
      </c>
      <c r="N10" s="1303">
        <f>'Grün4(a)'!M18</f>
        <v>147.77777777777777</v>
      </c>
      <c r="O10" s="1303">
        <f>'Grün4(a)'!N18</f>
        <v>105.55555555555556</v>
      </c>
      <c r="P10" s="1303">
        <f>'Grün4(a)'!O18</f>
        <v>84.444444444444443</v>
      </c>
      <c r="Q10" s="1303">
        <f>'Grün4(a)'!P18</f>
        <v>84.444444444444443</v>
      </c>
      <c r="R10" s="1300">
        <f>'Grün4(a)'!Q18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'Grün4(a)'!K19</f>
        <v>0</v>
      </c>
      <c r="N11" s="1551">
        <f>'Grün4(a)'!L19</f>
        <v>0</v>
      </c>
      <c r="O11" s="1551">
        <f>'Grün4(a)'!M19</f>
        <v>0</v>
      </c>
      <c r="P11" s="1551">
        <f>'Grün4(a)'!N19</f>
        <v>0</v>
      </c>
      <c r="Q11" s="1551">
        <f>'Grün4(a)'!O19</f>
        <v>0</v>
      </c>
      <c r="R11" s="1552">
        <f>'Grün4(a)'!P19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59"/>
      <c r="J12" s="2759"/>
      <c r="K12" s="2759"/>
      <c r="L12" s="425" t="s">
        <v>136</v>
      </c>
      <c r="M12" s="1181">
        <f>'Grün4(a)'!K22</f>
        <v>4674</v>
      </c>
      <c r="N12" s="967">
        <f>'Grün4(a)'!M22</f>
        <v>1729</v>
      </c>
      <c r="O12" s="967">
        <f>'Grün4(a)'!N22</f>
        <v>1197</v>
      </c>
      <c r="P12" s="967">
        <f>'Grün4(a)'!O22</f>
        <v>896.80000000000007</v>
      </c>
      <c r="Q12" s="967">
        <f>'Grün4(a)'!P22</f>
        <v>851.19999999999993</v>
      </c>
      <c r="R12" s="1302">
        <f>'Grün4(a)'!Q22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'Grün4(a)'!K23</f>
        <v>7790.0000000000009</v>
      </c>
      <c r="N13" s="1521">
        <f>'Grün4(a)'!M23</f>
        <v>2881.666666666667</v>
      </c>
      <c r="O13" s="1521">
        <f>'Grün4(a)'!N23</f>
        <v>1995</v>
      </c>
      <c r="P13" s="1521">
        <f>'Grün4(a)'!O23</f>
        <v>1494.6666666666667</v>
      </c>
      <c r="Q13" s="1521">
        <f>'Grün4(a)'!P23</f>
        <v>1418.6666666666667</v>
      </c>
      <c r="R13" s="1523">
        <f>'Grün4(a)'!Q23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'Grün4(a)'!L32</f>
        <v>29.424999999999997</v>
      </c>
      <c r="N19" s="1527">
        <f>'Grün4(a)'!M32</f>
        <v>10.29875</v>
      </c>
      <c r="O19" s="1527">
        <f>'Grün4(a)'!N32</f>
        <v>7.3562499999999993</v>
      </c>
      <c r="P19" s="1527">
        <f>'Grün4(a)'!O32</f>
        <v>5.8849999999999998</v>
      </c>
      <c r="Q19" s="1527">
        <f>'Grün4(a)'!P32</f>
        <v>5.8849999999999998</v>
      </c>
      <c r="R19" s="1529">
        <f>'Grün4(a)'!Q32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'Grün4(a)'!L34</f>
        <v>1005.576656</v>
      </c>
      <c r="N20" s="235">
        <f>'Grün4(a)'!M34</f>
        <v>351.9518296</v>
      </c>
      <c r="O20" s="235">
        <f>'Grün4(a)'!N34</f>
        <v>251.39416399999999</v>
      </c>
      <c r="P20" s="235">
        <f>'Grün4(a)'!O34</f>
        <v>201.11533120000001</v>
      </c>
      <c r="Q20" s="235">
        <f>'Grün4(a)'!P34</f>
        <v>201.11533120000001</v>
      </c>
      <c r="R20" s="1192">
        <f>'Grün4(a)'!Q34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'Grün4(a)'!L40</f>
        <v>0</v>
      </c>
      <c r="N21" s="235">
        <f>'Grün4(a)'!M40</f>
        <v>0</v>
      </c>
      <c r="O21" s="235">
        <f>'Grün4(a)'!N40</f>
        <v>0</v>
      </c>
      <c r="P21" s="235">
        <f>'Grün4(a)'!O40</f>
        <v>0</v>
      </c>
      <c r="Q21" s="235">
        <f>'Grün4(a)'!P40</f>
        <v>0</v>
      </c>
      <c r="R21" s="1192">
        <f>'Grün4(a)'!Q40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'Grün4(a)'!L67</f>
        <v>0</v>
      </c>
      <c r="N23" s="235">
        <f>'Grün4(a)'!M67</f>
        <v>0</v>
      </c>
      <c r="O23" s="235">
        <f>'Grün4(a)'!N67</f>
        <v>0</v>
      </c>
      <c r="P23" s="235">
        <f>'Grün4(a)'!O67</f>
        <v>0</v>
      </c>
      <c r="Q23" s="235">
        <f>'Grün4(a)'!P67</f>
        <v>0</v>
      </c>
      <c r="R23" s="1192">
        <f>'Grün4(a)'!Q67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'Grün4(a)'!L43</f>
        <v>243.14827557200005</v>
      </c>
      <c r="N24" s="235">
        <f>'Grün4(a)'!M43</f>
        <v>69.653405256800013</v>
      </c>
      <c r="O24" s="235">
        <f>'Grün4(a)'!N43</f>
        <v>63.742514347600007</v>
      </c>
      <c r="P24" s="235">
        <f>'Grün4(a)'!O43</f>
        <v>57.831623438400001</v>
      </c>
      <c r="Q24" s="235">
        <f>'Grün4(a)'!P43</f>
        <v>51.920732529200009</v>
      </c>
      <c r="R24" s="1192">
        <f>'Grün4(a)'!Q43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'Grün4(a)'!L59</f>
        <v>15.469999999999999</v>
      </c>
      <c r="N25" s="235">
        <f>'Grün4(a)'!M59</f>
        <v>3.8674999999999997</v>
      </c>
      <c r="O25" s="235">
        <f>'Grün4(a)'!N59</f>
        <v>3.8674999999999997</v>
      </c>
      <c r="P25" s="235">
        <f>'Grün4(a)'!O59</f>
        <v>3.8674999999999997</v>
      </c>
      <c r="Q25" s="235">
        <f>'Grün4(a)'!P59</f>
        <v>3.8674999999999997</v>
      </c>
      <c r="R25" s="1192">
        <f>'Grün4(a)'!Q59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'Grün4(a)'!L64</f>
        <v>0</v>
      </c>
      <c r="N26" s="1437">
        <f>'Grün4(a)'!M64</f>
        <v>0</v>
      </c>
      <c r="O26" s="1437">
        <f>'Grün4(a)'!N64</f>
        <v>0</v>
      </c>
      <c r="P26" s="1437">
        <f>'Grün4(a)'!O64</f>
        <v>0</v>
      </c>
      <c r="Q26" s="1437">
        <f>'Grün4(a)'!P64</f>
        <v>0</v>
      </c>
      <c r="R26" s="1439">
        <f>'Grün4(a)'!Q64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1293.619931572</v>
      </c>
      <c r="N27" s="1782">
        <f t="shared" si="4"/>
        <v>435.77148485679999</v>
      </c>
      <c r="O27" s="1782">
        <f t="shared" si="4"/>
        <v>326.36042834760002</v>
      </c>
      <c r="P27" s="1782">
        <f t="shared" si="4"/>
        <v>268.69945463840003</v>
      </c>
      <c r="Q27" s="1782">
        <f t="shared" si="4"/>
        <v>262.78856372920001</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-1293.619931572</v>
      </c>
      <c r="N28" s="1321">
        <f t="shared" si="5"/>
        <v>-435.77148485679999</v>
      </c>
      <c r="O28" s="1321">
        <f t="shared" si="5"/>
        <v>-326.36042834760002</v>
      </c>
      <c r="P28" s="1321">
        <f t="shared" si="5"/>
        <v>-268.69945463840003</v>
      </c>
      <c r="Q28" s="1321">
        <f t="shared" si="5"/>
        <v>-262.78856372920001</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-0.27676934779032947</v>
      </c>
      <c r="N29" s="1377">
        <f t="shared" si="6"/>
        <v>-0.25203671767310581</v>
      </c>
      <c r="O29" s="1377">
        <f t="shared" si="6"/>
        <v>-0.27264864523609023</v>
      </c>
      <c r="P29" s="1377">
        <f t="shared" si="6"/>
        <v>-0.29962026609991083</v>
      </c>
      <c r="Q29" s="1377">
        <f t="shared" si="6"/>
        <v>-0.30872716603524442</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'Grün4(a)'!L25</f>
        <v>270</v>
      </c>
      <c r="V30" s="2115">
        <f>'Grün4(a)'!M25</f>
        <v>94.5</v>
      </c>
      <c r="W30" s="2115">
        <f>'Grün4(a)'!N25</f>
        <v>67.5</v>
      </c>
      <c r="X30" s="2115">
        <f>'Grün4(a)'!O25</f>
        <v>54</v>
      </c>
      <c r="Y30" s="2115">
        <f>'Grün4(a)'!P25</f>
        <v>54</v>
      </c>
      <c r="Z30" s="2115">
        <f>'Grün4(a)'!Q25</f>
        <v>0</v>
      </c>
      <c r="AA30">
        <f>'Grün4(a)'!R25+'Grün4(a)'!R30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M27*'Grün4(a)'!$L$72*'Grün4(a)'!$Q$72/12/100</f>
        <v>8.0851245723250003</v>
      </c>
      <c r="N31" s="1437">
        <f>N27*'Grün4(a)'!$L$72*'Grün4(a)'!$Q$72/12/100</f>
        <v>2.7235717803549999</v>
      </c>
      <c r="O31" s="1437">
        <f>O27*'Grün4(a)'!$L$72*'Grün4(a)'!$Q$72/12/100</f>
        <v>2.0397526771725003</v>
      </c>
      <c r="P31" s="1437">
        <f>P27*'Grün4(a)'!$L$72*'Grün4(a)'!$Q$72/12/100</f>
        <v>1.67937159149</v>
      </c>
      <c r="Q31" s="1437">
        <f>Q27*'Grün4(a)'!$L$72*'Grün4(a)'!$Q$72/12/100</f>
        <v>1.6424285233075002</v>
      </c>
      <c r="R31" s="1439">
        <f>R27*'Grün4(a)'!$L$72*'Grün4(a)'!$Q$72/12/100</f>
        <v>0</v>
      </c>
      <c r="T31" s="2112" t="s">
        <v>564</v>
      </c>
      <c r="U31" s="2115">
        <f>'Grün4(a)'!L30</f>
        <v>270</v>
      </c>
      <c r="V31" s="2115">
        <f>'Grün4(a)'!M30</f>
        <v>94.5</v>
      </c>
      <c r="W31" s="2115">
        <f>'Grün4(a)'!N30</f>
        <v>67.5</v>
      </c>
      <c r="X31" s="2115">
        <f>'Grün4(a)'!O30</f>
        <v>54</v>
      </c>
      <c r="Y31" s="2115">
        <f>'Grün4(a)'!P30</f>
        <v>54</v>
      </c>
      <c r="Z31" s="2115">
        <f>'Grün4(a)'!Q30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-761.705056144325</v>
      </c>
      <c r="N32" s="1313">
        <f t="shared" si="8"/>
        <v>-249.49505663715499</v>
      </c>
      <c r="O32" s="1313">
        <f t="shared" si="8"/>
        <v>-193.40018102477251</v>
      </c>
      <c r="P32" s="1313">
        <f t="shared" si="8"/>
        <v>-162.37882622989002</v>
      </c>
      <c r="Q32" s="1313">
        <f t="shared" si="8"/>
        <v>-156.43099225250751</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-0.16296642193930788</v>
      </c>
      <c r="N33" s="1199">
        <f t="shared" si="10"/>
        <v>-0.14430020626787449</v>
      </c>
      <c r="O33" s="1199">
        <f t="shared" si="10"/>
        <v>-0.16157074438159774</v>
      </c>
      <c r="P33" s="1199">
        <f t="shared" si="10"/>
        <v>-0.1810647036461753</v>
      </c>
      <c r="Q33" s="1199">
        <f t="shared" si="10"/>
        <v>-0.18377701157484436</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-9.7779853163584715E-2</v>
      </c>
      <c r="N34" s="1599">
        <f t="shared" si="11"/>
        <v>-8.6580123760724687E-2</v>
      </c>
      <c r="O34" s="1599">
        <f t="shared" si="11"/>
        <v>-9.6942446628958651E-2</v>
      </c>
      <c r="P34" s="1599">
        <f t="shared" si="11"/>
        <v>-0.10863882218770518</v>
      </c>
      <c r="Q34" s="1599">
        <f t="shared" si="11"/>
        <v>-0.1102662069449066</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'Grün4(a)'!K58</f>
        <v>19.509</v>
      </c>
      <c r="N36" s="1772">
        <f>'Grün4(a)'!M58</f>
        <v>5.5680000000000005</v>
      </c>
      <c r="O36" s="1772">
        <f>'Grün4(a)'!N58</f>
        <v>5.1074999999999999</v>
      </c>
      <c r="P36" s="1772">
        <f>'Grün4(a)'!O58</f>
        <v>4.6470000000000002</v>
      </c>
      <c r="Q36" s="1772">
        <f>'Grün4(a)'!P58</f>
        <v>4.1864999999999997</v>
      </c>
      <c r="R36" s="1773">
        <f>'Grün4(a)'!Q58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'Grün4(a)'!K16</f>
        <v>131.94444444444443</v>
      </c>
      <c r="N37" s="1775">
        <f>'Grün4(a)'!M16</f>
        <v>46.18055555555555</v>
      </c>
      <c r="O37" s="1775">
        <f>'Grün4(a)'!N16</f>
        <v>32.986111111111107</v>
      </c>
      <c r="P37" s="1775">
        <f>'Grün4(a)'!O16</f>
        <v>26.388888888888886</v>
      </c>
      <c r="Q37" s="1775">
        <f>'Grün4(a)'!P16</f>
        <v>26.388888888888886</v>
      </c>
      <c r="R37" s="1776">
        <f>'Grün4(a)'!Q16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'Grün4(a)'!M78</f>
        <v>0</v>
      </c>
      <c r="O38" s="1565">
        <f>'Grün4(a)'!N78</f>
        <v>0</v>
      </c>
      <c r="P38" s="1565">
        <f>'Grün4(a)'!O78</f>
        <v>0</v>
      </c>
      <c r="Q38" s="1565">
        <f>'Grün4(a)'!P78</f>
        <v>0</v>
      </c>
      <c r="R38" s="1566">
        <f>'Grün4(a)'!Q78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321.89850000000001</v>
      </c>
      <c r="N39" s="235">
        <f t="shared" si="13"/>
        <v>91.872000000000014</v>
      </c>
      <c r="O39" s="235">
        <f t="shared" si="13"/>
        <v>84.273749999999993</v>
      </c>
      <c r="P39" s="235">
        <f t="shared" si="13"/>
        <v>76.6755</v>
      </c>
      <c r="Q39" s="235">
        <f t="shared" si="13"/>
        <v>69.077249999999992</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Maschinen!S45</f>
        <v>236.99238553030298</v>
      </c>
      <c r="N41" s="235">
        <f>N$6/$M$6*$M$41</f>
        <v>82.947334935606037</v>
      </c>
      <c r="O41" s="235">
        <f>O$6/$M$6*$M$41</f>
        <v>59.248096382575746</v>
      </c>
      <c r="P41" s="235">
        <f>P$6/$M$6*$M$41</f>
        <v>47.398477106060596</v>
      </c>
      <c r="Q41" s="235">
        <f>Q$6/$M$6*$M$41</f>
        <v>47.398477106060596</v>
      </c>
      <c r="R41" s="1192">
        <f>R$6/$M$6*$M$41</f>
        <v>0</v>
      </c>
      <c r="S41" s="3364" t="s">
        <v>1201</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S42" s="3364"/>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892.66463553030303</v>
      </c>
      <c r="N45" s="1449">
        <f t="shared" si="14"/>
        <v>291.64014743560602</v>
      </c>
      <c r="O45" s="1449">
        <f t="shared" si="14"/>
        <v>226.96528388257576</v>
      </c>
      <c r="P45" s="1449">
        <f t="shared" si="14"/>
        <v>190.8287271060606</v>
      </c>
      <c r="Q45" s="1449">
        <f t="shared" si="14"/>
        <v>183.23047710606059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2194.369691674628</v>
      </c>
      <c r="N48" s="1577">
        <f t="shared" si="16"/>
        <v>730.13520407276098</v>
      </c>
      <c r="O48" s="1497">
        <f t="shared" si="16"/>
        <v>555.36546490734827</v>
      </c>
      <c r="P48" s="1497">
        <f t="shared" si="16"/>
        <v>461.20755333595059</v>
      </c>
      <c r="Q48" s="1497">
        <f t="shared" si="16"/>
        <v>447.66146935856807</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-2194.369691674628</v>
      </c>
      <c r="N49" s="1575">
        <f t="shared" si="17"/>
        <v>-730.13520407276098</v>
      </c>
      <c r="O49" s="1316">
        <f t="shared" si="17"/>
        <v>-555.36546490734827</v>
      </c>
      <c r="P49" s="1316">
        <f t="shared" si="17"/>
        <v>-461.20755333595059</v>
      </c>
      <c r="Q49" s="1316">
        <f t="shared" si="17"/>
        <v>-447.66146935856807</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-0.46948431571986049</v>
      </c>
      <c r="N50" s="1854">
        <f t="shared" si="18"/>
        <v>-0.42228756742207113</v>
      </c>
      <c r="O50" s="1614">
        <f t="shared" si="18"/>
        <v>-0.46396446525258839</v>
      </c>
      <c r="P50" s="1614">
        <f t="shared" si="18"/>
        <v>-0.51428139310431598</v>
      </c>
      <c r="Q50" s="1614">
        <f t="shared" si="18"/>
        <v>-0.52591807960358095</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-1654.369691674628</v>
      </c>
      <c r="N52" s="1622">
        <f t="shared" si="20"/>
        <v>-541.13520407276098</v>
      </c>
      <c r="O52" s="1537">
        <f t="shared" si="20"/>
        <v>-420.36546490734827</v>
      </c>
      <c r="P52" s="1537">
        <f t="shared" si="20"/>
        <v>-353.20755333595059</v>
      </c>
      <c r="Q52" s="1537">
        <f t="shared" si="20"/>
        <v>-339.66146935856807</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-0.35395158144514932</v>
      </c>
      <c r="N53" s="1854">
        <f t="shared" si="21"/>
        <v>-0.31297582653138289</v>
      </c>
      <c r="O53" s="1614">
        <f t="shared" si="21"/>
        <v>-0.35118251036537029</v>
      </c>
      <c r="P53" s="1614">
        <f t="shared" si="21"/>
        <v>-0.39385320398745605</v>
      </c>
      <c r="Q53" s="1614">
        <f t="shared" si="21"/>
        <v>-0.39903838035546063</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1654.369691674628</v>
      </c>
      <c r="N55" s="1494">
        <f t="shared" si="22"/>
        <v>541.13520407276098</v>
      </c>
      <c r="O55" s="1494">
        <f t="shared" si="22"/>
        <v>420.36546490734827</v>
      </c>
      <c r="P55" s="1494">
        <f t="shared" si="22"/>
        <v>353.20755333595059</v>
      </c>
      <c r="Q55" s="1494">
        <f t="shared" si="22"/>
        <v>339.66146935856807</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3.9182440065978033</v>
      </c>
      <c r="N56" s="1559">
        <f t="shared" si="24"/>
        <v>3.6618171704171796</v>
      </c>
      <c r="O56" s="1559">
        <f t="shared" si="24"/>
        <v>3.9824096675432994</v>
      </c>
      <c r="P56" s="1559">
        <f t="shared" si="24"/>
        <v>4.1827210263467833</v>
      </c>
      <c r="Q56" s="1559">
        <f t="shared" si="24"/>
        <v>4.0223068739830428</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21.768022258876684</v>
      </c>
      <c r="N57" s="2174">
        <f>IF($N$9=0,0,N$55/$N$9)</f>
        <v>20.343428724539887</v>
      </c>
      <c r="O57" s="2174">
        <f>IF($O$9=0,0,O$55/$O$9)</f>
        <v>22.12449815301833</v>
      </c>
      <c r="P57" s="2174">
        <f>IF($P$9=0,0,P$55/$P$9)</f>
        <v>23.237339035259907</v>
      </c>
      <c r="Q57" s="2174">
        <f>IF($Q$9=0,0,Q$55/$Q$9)</f>
        <v>22.346149299905797</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0.35395158144514932</v>
      </c>
      <c r="N59" s="1586">
        <f t="shared" si="25"/>
        <v>0.31297582653138289</v>
      </c>
      <c r="O59" s="1586">
        <f t="shared" si="25"/>
        <v>0.35118251036537029</v>
      </c>
      <c r="P59" s="1586">
        <f t="shared" si="25"/>
        <v>0.39385320398745605</v>
      </c>
      <c r="Q59" s="1586">
        <f t="shared" si="25"/>
        <v>0.39903838035546063</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9.8319883734763691E-2</v>
      </c>
      <c r="N60" s="1586">
        <f t="shared" si="26"/>
        <v>8.6937729592050803E-2</v>
      </c>
      <c r="O60" s="1586">
        <f t="shared" si="26"/>
        <v>9.7550697323713978E-2</v>
      </c>
      <c r="P60" s="1586">
        <f t="shared" si="26"/>
        <v>0.10940366777429335</v>
      </c>
      <c r="Q60" s="1586">
        <f t="shared" si="26"/>
        <v>0.1108439945431835</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0.35395158144514932</v>
      </c>
      <c r="N61" s="1586">
        <f t="shared" si="27"/>
        <v>0.31297582653138289</v>
      </c>
      <c r="O61" s="1586">
        <f t="shared" si="27"/>
        <v>0.35118251036537029</v>
      </c>
      <c r="P61" s="1586">
        <f t="shared" si="27"/>
        <v>0.39385320398745605</v>
      </c>
      <c r="Q61" s="1586">
        <f t="shared" si="27"/>
        <v>0.39903838035546063</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0.21237094886708957</v>
      </c>
      <c r="N62" s="1856">
        <f t="shared" si="28"/>
        <v>0.1877854959188297</v>
      </c>
      <c r="O62" s="1856">
        <f t="shared" si="28"/>
        <v>0.21070950621922219</v>
      </c>
      <c r="P62" s="1856">
        <f t="shared" si="28"/>
        <v>0.23631192239247362</v>
      </c>
      <c r="Q62" s="1856">
        <f t="shared" si="28"/>
        <v>0.23942302821327635</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1654.369691674628</v>
      </c>
      <c r="N63" s="1313">
        <f t="shared" si="29"/>
        <v>541.13520407276098</v>
      </c>
      <c r="O63" s="1313">
        <f t="shared" si="29"/>
        <v>420.36546490734827</v>
      </c>
      <c r="P63" s="1313">
        <f t="shared" si="29"/>
        <v>353.20755333595059</v>
      </c>
      <c r="Q63" s="1313">
        <f t="shared" si="29"/>
        <v>339.66146935856807</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21.768022258876684</v>
      </c>
      <c r="N64" s="2174">
        <f>IF($N$9=0,0,N$63/$N$9)</f>
        <v>20.343428724539887</v>
      </c>
      <c r="O64" s="2174">
        <f>IF($O$9=0,0,O$63/$O$9)</f>
        <v>22.12449815301833</v>
      </c>
      <c r="P64" s="2174">
        <f>IF($P$9=0,0,P$63/$P$9)</f>
        <v>23.237339035259907</v>
      </c>
      <c r="Q64" s="2174">
        <f>IF($Q$9=0,0,Q$63/$Q$9)</f>
        <v>22.346149299905797</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0.35395158144514932</v>
      </c>
      <c r="N65" s="1615">
        <f t="shared" si="30"/>
        <v>0.31297582653138289</v>
      </c>
      <c r="O65" s="1615">
        <f t="shared" si="30"/>
        <v>0.35118251036537029</v>
      </c>
      <c r="P65" s="1615">
        <f t="shared" si="30"/>
        <v>0.39385320398745605</v>
      </c>
      <c r="Q65" s="1615">
        <f t="shared" si="30"/>
        <v>0.39903838035546063</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0.21237094886708957</v>
      </c>
      <c r="N66" s="1617">
        <f t="shared" si="30"/>
        <v>0.1877854959188297</v>
      </c>
      <c r="O66" s="1617">
        <f t="shared" si="30"/>
        <v>0.21070950621922219</v>
      </c>
      <c r="P66" s="1617">
        <f t="shared" si="30"/>
        <v>0.23631192239247362</v>
      </c>
      <c r="Q66" s="1617">
        <f t="shared" si="30"/>
        <v>0.23942302821327635</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1043.0867805723249</v>
      </c>
      <c r="N68" s="1316">
        <f t="shared" si="31"/>
        <v>364.97415138035495</v>
      </c>
      <c r="O68" s="1316">
        <f t="shared" si="31"/>
        <v>260.79016667717246</v>
      </c>
      <c r="P68" s="1316">
        <f t="shared" si="31"/>
        <v>208.67970279149</v>
      </c>
      <c r="Q68" s="1316">
        <f t="shared" si="31"/>
        <v>208.64275972330751</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0.22316790341727105</v>
      </c>
      <c r="N69" s="1487">
        <f t="shared" si="32"/>
        <v>0.21108973474861478</v>
      </c>
      <c r="O69" s="1487">
        <f t="shared" si="32"/>
        <v>0.21786981343122178</v>
      </c>
      <c r="P69" s="1487">
        <f t="shared" si="32"/>
        <v>0.23269369178355262</v>
      </c>
      <c r="Q69" s="1487">
        <f t="shared" si="32"/>
        <v>0.24511602411102856</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817.50916110230298</v>
      </c>
      <c r="N70" s="1313">
        <f t="shared" si="33"/>
        <v>248.34024019240604</v>
      </c>
      <c r="O70" s="1313">
        <f t="shared" si="33"/>
        <v>211.13186073017573</v>
      </c>
      <c r="P70" s="1313">
        <f t="shared" si="33"/>
        <v>185.77310054446059</v>
      </c>
      <c r="Q70" s="1313">
        <f t="shared" si="33"/>
        <v>172.26395963526059</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0.17490568273476742</v>
      </c>
      <c r="N71" s="1614">
        <f t="shared" si="34"/>
        <v>0.14363229623620941</v>
      </c>
      <c r="O71" s="1614">
        <f t="shared" si="34"/>
        <v>0.17638417771944506</v>
      </c>
      <c r="P71" s="1614">
        <f t="shared" si="34"/>
        <v>0.20715109338142348</v>
      </c>
      <c r="Q71" s="1614">
        <f t="shared" si="34"/>
        <v>0.20237777212789074</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4" activePane="bottomRight" state="frozen"/>
      <selection pane="bottomRight" activeCell="M44" sqref="M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5">
    <mergeCell ref="S41:S42"/>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AS82"/>
  <sheetViews>
    <sheetView showGridLines="0" showZeros="0" workbookViewId="0">
      <pane xSplit="12" ySplit="5" topLeftCell="M6" activePane="bottomRight" state="frozen"/>
      <selection activeCell="B5" sqref="B5:M7"/>
      <selection pane="topRight" activeCell="B5" sqref="B5:M7"/>
      <selection pane="bottomLeft" activeCell="B5" sqref="B5:M7"/>
      <selection pane="bottomRight" activeCell="B5" sqref="B5:M7"/>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1104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1232</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Silage</v>
      </c>
      <c r="N5" s="2699" t="str">
        <f>VLOOKUP(W$5,$S$4:$T$13,2)</f>
        <v>Silage</v>
      </c>
      <c r="O5" s="2699" t="str">
        <f>VLOOKUP(X$5,$S$4:$T$13,2)</f>
        <v>Silage</v>
      </c>
      <c r="P5" s="2699">
        <f>VLOOKUP(Y$5,$S$4:$T$13,2)</f>
        <v>0</v>
      </c>
      <c r="Q5" s="2700">
        <f>VLOOKUP(Z$5,$S$4:$T$13,2)</f>
        <v>0</v>
      </c>
      <c r="R5" s="470"/>
      <c r="S5" s="2642">
        <v>2</v>
      </c>
      <c r="T5" s="2672" t="str">
        <f>Energ.!G$57</f>
        <v>Umtriebsweide</v>
      </c>
      <c r="U5" s="2643"/>
      <c r="V5" s="2639">
        <v>5</v>
      </c>
      <c r="W5" s="2118">
        <v>5</v>
      </c>
      <c r="X5" s="2118">
        <v>5</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7.0000000000000009</v>
      </c>
      <c r="L9" s="1226"/>
      <c r="M9" s="2649">
        <f>HLOOKUP(V$5,Energ.!$F$58:$N$66,Energ.!$A60)*100</f>
        <v>7.0000000000000009</v>
      </c>
      <c r="N9" s="2650">
        <f>HLOOKUP(W$5,Energ.!$F$58:$N$66,Energ.!$A60)*100</f>
        <v>7.0000000000000009</v>
      </c>
      <c r="O9" s="2650">
        <f>HLOOKUP(X$5,Energ.!$F$58:$N$66,Energ.!$A60)*100</f>
        <v>7.0000000000000009</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34.999999999999993</v>
      </c>
      <c r="L10" s="1224"/>
      <c r="M10" s="2652">
        <f>HLOOKUP(V$5,Energ.!$F$58:$N$66,Energ.!$A62)*100</f>
        <v>35</v>
      </c>
      <c r="N10" s="2653">
        <f>HLOOKUP(W$5,Energ.!$F$58:$N$66,Energ.!$A62)*100</f>
        <v>35</v>
      </c>
      <c r="O10" s="2658">
        <f>HLOOKUP(X$5,Energ.!$F$58:$N$66,Energ.!$A62)*100</f>
        <v>35</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36.999999999999993</v>
      </c>
      <c r="L11" s="1228"/>
      <c r="M11" s="2649">
        <f>HLOOKUP(V$5,Energ.!$F$58:$N$66,Energ.!$A63)*100</f>
        <v>37</v>
      </c>
      <c r="N11" s="2650">
        <f>HLOOKUP(W$5,Energ.!$F$58:$N$66,Energ.!$A63)*100</f>
        <v>37</v>
      </c>
      <c r="O11" s="2650">
        <f>HLOOKUP(X$5,Energ.!$F$58:$N$66,Energ.!$A63)*100</f>
        <v>37</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6.6000000000000014</v>
      </c>
      <c r="L12" s="1224"/>
      <c r="M12" s="2655">
        <f>HLOOKUP(V$5,Energ.!$F$58:$N$66,Energ.!$A64)</f>
        <v>6.6</v>
      </c>
      <c r="N12" s="2656">
        <f>HLOOKUP(W$5,Energ.!$F$58:$N$66,Energ.!$A64)</f>
        <v>6.6</v>
      </c>
      <c r="O12" s="2656">
        <f>HLOOKUP(X$5,Energ.!$F$58:$N$66,Energ.!$A64)</f>
        <v>6.6</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2.4420000000000002</v>
      </c>
      <c r="L13" s="1231"/>
      <c r="M13" s="517">
        <f>M12*M11/100</f>
        <v>2.4419999999999997</v>
      </c>
      <c r="N13" s="518">
        <f>N12*N11/100</f>
        <v>2.4419999999999997</v>
      </c>
      <c r="O13" s="518">
        <f>O12*O11/100</f>
        <v>2.4419999999999997</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61.750000000000007</v>
      </c>
      <c r="L14" s="1233"/>
      <c r="M14" s="865">
        <f>M6*(100-M8)/100</f>
        <v>27.787500000000001</v>
      </c>
      <c r="N14" s="866">
        <f>N6*(100-N8)/100</f>
        <v>21.612500000000001</v>
      </c>
      <c r="O14" s="866">
        <f>O6*(100-O8)/100</f>
        <v>12.35</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176.42857142857142</v>
      </c>
      <c r="L15" s="1233"/>
      <c r="M15" s="865">
        <f>IF(M10=0,0,M14/M10*100)</f>
        <v>79.392857142857139</v>
      </c>
      <c r="N15" s="866">
        <f>IF(N10=0,0,N14/N10*100)</f>
        <v>61.750000000000007</v>
      </c>
      <c r="O15" s="866">
        <f>IF(O10=0,0,O14/O10*100)</f>
        <v>35.285714285714285</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26.731601731601735</v>
      </c>
      <c r="L16" s="3348"/>
      <c r="M16" s="1793">
        <f>IF(V5&lt;4,0,IF(M12=0,0,M15/M12))</f>
        <v>12.029220779220779</v>
      </c>
      <c r="N16" s="1794">
        <f>IF(W5&lt;4,0,IF(N12=0,0,N15/N12))</f>
        <v>9.3560606060606073</v>
      </c>
      <c r="O16" s="1794">
        <f>IF(X5&lt;4,0,IF(O12=0,0,O15/O12))</f>
        <v>5.3463203463203461</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57.427500000000002</v>
      </c>
      <c r="L17" s="1235"/>
      <c r="M17" s="865">
        <f>M14*(100-M9)/100</f>
        <v>25.842375000000001</v>
      </c>
      <c r="N17" s="870">
        <f>N14*(100-N9)/100</f>
        <v>20.099625</v>
      </c>
      <c r="O17" s="870">
        <f>O14*(100-O9)/100</f>
        <v>11.4855</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155.20945945945948</v>
      </c>
      <c r="L18" s="1235"/>
      <c r="M18" s="865">
        <f>IF(M11=0,0,M17/M11*100)</f>
        <v>69.844256756756764</v>
      </c>
      <c r="N18" s="870">
        <f>IF(N11=0,0,N17/N11*100)</f>
        <v>54.32331081081081</v>
      </c>
      <c r="O18" s="870">
        <f>IF(O11=0,0,O17/O11*100)</f>
        <v>31.041891891891893</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5.6499999999999995</v>
      </c>
      <c r="L20" s="1238"/>
      <c r="M20" s="254">
        <v>5.8</v>
      </c>
      <c r="N20" s="255">
        <v>5.6</v>
      </c>
      <c r="O20" s="255">
        <v>5.4</v>
      </c>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9.4166666666666661</v>
      </c>
      <c r="L21" s="1238"/>
      <c r="M21" s="428">
        <f>IF($G21=0,0,M20/$G21)</f>
        <v>9.6666666666666661</v>
      </c>
      <c r="N21" s="429">
        <f>IF($G21=0,0,N20/$G21)</f>
        <v>9.3333333333333339</v>
      </c>
      <c r="O21" s="429">
        <f>IF($G21=0,0,O20/$G21)</f>
        <v>9.0000000000000018</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3244.6537499999999</v>
      </c>
      <c r="L22" s="1240"/>
      <c r="M22" s="385">
        <f t="shared" ref="M22:Q23" si="0">M$17*M20*10</f>
        <v>1498.8577499999999</v>
      </c>
      <c r="N22" s="387">
        <f t="shared" si="0"/>
        <v>1125.579</v>
      </c>
      <c r="O22" s="387">
        <f t="shared" si="0"/>
        <v>620.21699999999998</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5407.7562500000004</v>
      </c>
      <c r="L23" s="1242"/>
      <c r="M23" s="386">
        <f t="shared" si="0"/>
        <v>2498.0962499999996</v>
      </c>
      <c r="N23" s="388">
        <f t="shared" si="0"/>
        <v>1875.9650000000001</v>
      </c>
      <c r="O23" s="388">
        <f t="shared" si="0"/>
        <v>1033.6950000000002</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693.40770450000002</v>
      </c>
      <c r="M34" s="894">
        <f>$L34*M$7/100</f>
        <v>312.03346702500005</v>
      </c>
      <c r="N34" s="895">
        <f>$L34*N$7/100</f>
        <v>242.69269657500001</v>
      </c>
      <c r="O34" s="895">
        <f>$L34*O$7/100</f>
        <v>138.68154089999999</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2.38</v>
      </c>
      <c r="I36" s="112">
        <v>-45</v>
      </c>
      <c r="J36" s="913"/>
      <c r="K36" s="1255">
        <f>H36*$K$14+I36</f>
        <v>101.965</v>
      </c>
      <c r="L36" s="1256">
        <f>K36*$F36</f>
        <v>364.01504999999997</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0.71</v>
      </c>
      <c r="I37" s="112"/>
      <c r="J37" s="913"/>
      <c r="K37" s="1255">
        <f>H37*$K$14+I37</f>
        <v>43.842500000000001</v>
      </c>
      <c r="L37" s="1256">
        <f>K37*$F37</f>
        <v>113.73621350000002</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2.89</v>
      </c>
      <c r="I38" s="112"/>
      <c r="J38" s="913"/>
      <c r="K38" s="1255">
        <f>H38*$K$14+I38</f>
        <v>178.45750000000004</v>
      </c>
      <c r="L38" s="1256">
        <f>K38*$F38</f>
        <v>165.64425150000005</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0.41</v>
      </c>
      <c r="I39" s="115"/>
      <c r="J39" s="920"/>
      <c r="K39" s="1257">
        <f>H39*$K$14+I39</f>
        <v>25.317500000000003</v>
      </c>
      <c r="L39" s="1258">
        <f>K39*$F39</f>
        <v>50.012189499999998</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126.643810873776</v>
      </c>
      <c r="M43" s="931">
        <f>SUM(Z46:Z56)</f>
        <v>46.871971665392003</v>
      </c>
      <c r="N43" s="931">
        <f>SUM(AA46:AA56)</f>
        <v>43.635461230592</v>
      </c>
      <c r="O43" s="931">
        <f>SUM(AB46:AB56)</f>
        <v>36.136377977792002</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X56" si="3">IF(M46&lt;&gt;0,M46*$H46,0)</f>
        <v>0.2838</v>
      </c>
      <c r="U46" s="407">
        <f t="shared" si="3"/>
        <v>0.2838</v>
      </c>
      <c r="V46" s="407">
        <f t="shared" si="3"/>
        <v>0.2838</v>
      </c>
      <c r="W46" s="407">
        <f t="shared" si="3"/>
        <v>0</v>
      </c>
      <c r="X46" s="408">
        <f t="shared" si="3"/>
        <v>0</v>
      </c>
      <c r="Y46" s="434"/>
      <c r="Z46" s="406">
        <f t="shared" ref="Z46:AD56" si="4">IF(M46&lt;&gt;0,M46*$I46,0)</f>
        <v>3.4240471663199989</v>
      </c>
      <c r="AA46" s="407">
        <f t="shared" si="4"/>
        <v>3.4240471663199989</v>
      </c>
      <c r="AB46" s="407">
        <f t="shared" si="4"/>
        <v>3.4240471663199989</v>
      </c>
      <c r="AC46" s="407">
        <f t="shared" si="4"/>
        <v>0</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4.95" customHeight="1" x14ac:dyDescent="0.2">
      <c r="A48" s="887" t="s">
        <v>282</v>
      </c>
      <c r="B48" s="1415">
        <v>25</v>
      </c>
      <c r="C48" s="103"/>
      <c r="D48" s="132"/>
      <c r="E48" s="438"/>
      <c r="F48" s="438"/>
      <c r="G48" s="399">
        <f>IF($B48=0,0,VLOOKUP($B48,Arbeitsgänge!$B$26:$M$78,6))</f>
        <v>0</v>
      </c>
      <c r="H48" s="424">
        <f>IF($B48=0,0,VLOOKUP($B48,Arbeitsgänge!$B$26:$O$78,11))</f>
        <v>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28</v>
      </c>
      <c r="C50" s="103"/>
      <c r="D50" s="132"/>
      <c r="E50" s="438"/>
      <c r="F50" s="438"/>
      <c r="G50" s="399">
        <f>IF($B50=0,0,VLOOKUP($B50,Arbeitsgänge!$B$26:$M$78,6))</f>
        <v>200</v>
      </c>
      <c r="H50" s="424">
        <f>IF($B50=0,0,VLOOKUP($B50,Arbeitsgänge!$B$26:$O$78,11))</f>
        <v>0.3</v>
      </c>
      <c r="I50" s="400">
        <f>IF($B50=0,0,VLOOKUP($B50,Arbeitsgänge!$B$26:$T$79,12))</f>
        <v>16.220808179999999</v>
      </c>
      <c r="J50" s="493">
        <f t="shared" si="5"/>
        <v>3</v>
      </c>
      <c r="K50" s="1266">
        <f t="shared" si="1"/>
        <v>0.89999999999999991</v>
      </c>
      <c r="L50" s="1256">
        <f t="shared" si="2"/>
        <v>48.662424539999996</v>
      </c>
      <c r="M50" s="259">
        <v>1.1000000000000001</v>
      </c>
      <c r="N50" s="260">
        <v>1</v>
      </c>
      <c r="O50" s="260">
        <v>0.9</v>
      </c>
      <c r="P50" s="260"/>
      <c r="Q50" s="261"/>
      <c r="R50" s="449"/>
      <c r="S50" s="449"/>
      <c r="T50" s="406">
        <f t="shared" si="3"/>
        <v>0.33</v>
      </c>
      <c r="U50" s="407">
        <f t="shared" si="3"/>
        <v>0.3</v>
      </c>
      <c r="V50" s="407">
        <f t="shared" si="3"/>
        <v>0.27</v>
      </c>
      <c r="W50" s="407">
        <f t="shared" si="3"/>
        <v>0</v>
      </c>
      <c r="X50" s="408">
        <f t="shared" si="3"/>
        <v>0</v>
      </c>
      <c r="Y50" s="434"/>
      <c r="Z50" s="406">
        <f t="shared" si="4"/>
        <v>17.842888997999999</v>
      </c>
      <c r="AA50" s="407">
        <f t="shared" si="4"/>
        <v>16.220808179999999</v>
      </c>
      <c r="AB50" s="407">
        <f t="shared" si="4"/>
        <v>14.598727362</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1.7000000000000002</v>
      </c>
      <c r="K51" s="1266">
        <f t="shared" si="1"/>
        <v>0.59499999999999997</v>
      </c>
      <c r="L51" s="1256">
        <f t="shared" si="2"/>
        <v>10.351962558</v>
      </c>
      <c r="M51" s="259">
        <v>0.9</v>
      </c>
      <c r="N51" s="260">
        <v>0.8</v>
      </c>
      <c r="O51" s="260"/>
      <c r="P51" s="260"/>
      <c r="Q51" s="261"/>
      <c r="R51" s="449"/>
      <c r="S51" s="449"/>
      <c r="T51" s="406">
        <f t="shared" si="3"/>
        <v>0.315</v>
      </c>
      <c r="U51" s="407">
        <f t="shared" si="3"/>
        <v>0.27999999999999997</v>
      </c>
      <c r="V51" s="407">
        <f t="shared" si="3"/>
        <v>0</v>
      </c>
      <c r="W51" s="407">
        <f t="shared" si="3"/>
        <v>0</v>
      </c>
      <c r="X51" s="408">
        <f t="shared" si="3"/>
        <v>0</v>
      </c>
      <c r="Y51" s="434"/>
      <c r="Z51" s="406">
        <f t="shared" si="4"/>
        <v>5.4804507659999997</v>
      </c>
      <c r="AA51" s="407">
        <f t="shared" si="4"/>
        <v>4.8715117919999997</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3</v>
      </c>
      <c r="K52" s="1266"/>
      <c r="L52" s="1256"/>
      <c r="M52" s="259">
        <v>1</v>
      </c>
      <c r="N52" s="260">
        <v>1</v>
      </c>
      <c r="O52" s="260">
        <v>1</v>
      </c>
      <c r="P52" s="260"/>
      <c r="Q52" s="261"/>
      <c r="R52" s="449"/>
      <c r="S52" s="449"/>
      <c r="T52" s="406">
        <f t="shared" si="3"/>
        <v>0.26</v>
      </c>
      <c r="U52" s="407">
        <f t="shared" si="3"/>
        <v>0.26</v>
      </c>
      <c r="V52" s="407">
        <f t="shared" si="3"/>
        <v>0.26</v>
      </c>
      <c r="W52" s="407">
        <f t="shared" si="3"/>
        <v>0</v>
      </c>
      <c r="X52" s="408">
        <f t="shared" si="3"/>
        <v>0</v>
      </c>
      <c r="Y52" s="434"/>
      <c r="Z52" s="406">
        <f t="shared" si="4"/>
        <v>7.3773665359999994</v>
      </c>
      <c r="AA52" s="407">
        <f t="shared" si="4"/>
        <v>7.3773665359999994</v>
      </c>
      <c r="AB52" s="407">
        <f t="shared" si="4"/>
        <v>7.3773665359999994</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43</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37</v>
      </c>
      <c r="C54" s="103"/>
      <c r="D54" s="132"/>
      <c r="E54" s="438"/>
      <c r="F54" s="438"/>
      <c r="G54" s="399">
        <f>IF($B54=0,0,VLOOKUP($B54,Arbeitsgänge!$B$26:$M$78,6))</f>
        <v>102</v>
      </c>
      <c r="H54" s="424">
        <f>IF($B54=0,0,VLOOKUP($B54,Arbeitsgänge!$B$26:$O$78,11))</f>
        <v>0.49</v>
      </c>
      <c r="I54" s="400">
        <f>IF($B54=0,0,VLOOKUP($B54,Arbeitsgänge!$B$26:$T$79,12))</f>
        <v>10.054906428000001</v>
      </c>
      <c r="J54" s="493">
        <f t="shared" si="5"/>
        <v>2.7</v>
      </c>
      <c r="K54" s="1266">
        <f t="shared" si="1"/>
        <v>1.323</v>
      </c>
      <c r="L54" s="1256">
        <f t="shared" si="2"/>
        <v>27.148247355600002</v>
      </c>
      <c r="M54" s="259">
        <v>1</v>
      </c>
      <c r="N54" s="260">
        <v>0.9</v>
      </c>
      <c r="O54" s="260">
        <v>0.8</v>
      </c>
      <c r="P54" s="260"/>
      <c r="Q54" s="261"/>
      <c r="R54" s="449"/>
      <c r="S54" s="449"/>
      <c r="T54" s="406">
        <f t="shared" si="3"/>
        <v>0.49</v>
      </c>
      <c r="U54" s="407">
        <f t="shared" si="3"/>
        <v>0.441</v>
      </c>
      <c r="V54" s="407">
        <f t="shared" si="3"/>
        <v>0.39200000000000002</v>
      </c>
      <c r="W54" s="407">
        <f t="shared" si="3"/>
        <v>0</v>
      </c>
      <c r="X54" s="408">
        <f t="shared" si="3"/>
        <v>0</v>
      </c>
      <c r="Y54" s="434"/>
      <c r="Z54" s="406">
        <f t="shared" si="4"/>
        <v>10.054906428000001</v>
      </c>
      <c r="AA54" s="407">
        <f t="shared" si="4"/>
        <v>9.0494157852000008</v>
      </c>
      <c r="AB54" s="407">
        <f t="shared" si="4"/>
        <v>8.0439251424000009</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4.9245999999999999</v>
      </c>
      <c r="L57" s="1270"/>
      <c r="M57" s="944">
        <f>SUM(T46:T56)</f>
        <v>1.8371999999999999</v>
      </c>
      <c r="N57" s="945">
        <f>SUM(U46:U56)</f>
        <v>1.7232000000000001</v>
      </c>
      <c r="O57" s="945">
        <f>SUM(V46:V56)</f>
        <v>1.3642000000000001</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60</v>
      </c>
      <c r="H58" s="800" t="s">
        <v>487</v>
      </c>
      <c r="I58" s="800"/>
      <c r="J58" s="950"/>
      <c r="K58" s="1271">
        <f>SUM(M58:Q58)</f>
        <v>7.8793600000000001</v>
      </c>
      <c r="L58" s="1272"/>
      <c r="M58" s="951">
        <f>M57+M57*$G$58/100</f>
        <v>2.9395199999999999</v>
      </c>
      <c r="N58" s="952">
        <f>N57+N57*$G$58/100</f>
        <v>2.7571200000000005</v>
      </c>
      <c r="O58" s="952">
        <f>O57+O57*$G$58/100</f>
        <v>2.1827200000000002</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114.24</v>
      </c>
      <c r="M59" s="886">
        <f>SUM(T61:T63)</f>
        <v>47.6</v>
      </c>
      <c r="N59" s="870">
        <f>SUM(U61:U63)</f>
        <v>38.080000000000005</v>
      </c>
      <c r="O59" s="870">
        <f>SUM(V61:V63)</f>
        <v>28.56</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t="s">
        <v>1109</v>
      </c>
      <c r="E62" s="2078"/>
      <c r="F62" s="2078"/>
      <c r="G62" s="2243">
        <v>40</v>
      </c>
      <c r="H62" s="755">
        <f>G62*(100+$H$59)/100</f>
        <v>47.6</v>
      </c>
      <c r="I62" s="756"/>
      <c r="J62" s="2070">
        <f>SUM(M62:Q62)</f>
        <v>2.4</v>
      </c>
      <c r="K62" s="1718"/>
      <c r="L62" s="1284">
        <f>J62*H62</f>
        <v>114.24</v>
      </c>
      <c r="M62" s="2244">
        <v>1</v>
      </c>
      <c r="N62" s="2245">
        <v>0.8</v>
      </c>
      <c r="O62" s="2245">
        <v>0.6</v>
      </c>
      <c r="P62" s="2245"/>
      <c r="Q62" s="2246"/>
      <c r="R62" s="449"/>
      <c r="S62" s="449"/>
      <c r="T62" s="494">
        <f>IF(M62&lt;&gt;0,M62*$H62,0)</f>
        <v>47.6</v>
      </c>
      <c r="U62" s="494">
        <f t="shared" si="6"/>
        <v>38.080000000000005</v>
      </c>
      <c r="V62" s="494">
        <f t="shared" si="6"/>
        <v>28.56</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0.34999999999999992</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33.32</v>
      </c>
      <c r="M67" s="886">
        <f t="shared" si="7"/>
        <v>14.994</v>
      </c>
      <c r="N67" s="870">
        <f t="shared" si="7"/>
        <v>11.661999999999999</v>
      </c>
      <c r="O67" s="870">
        <f t="shared" si="7"/>
        <v>6.6640000000000006</v>
      </c>
      <c r="P67" s="870">
        <f t="shared" si="7"/>
        <v>0</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t="s">
        <v>1</v>
      </c>
      <c r="E69" s="2683"/>
      <c r="F69" s="2682"/>
      <c r="G69" s="2684"/>
      <c r="H69" s="2685"/>
      <c r="I69" s="2686">
        <f>Preise!M47</f>
        <v>33.32</v>
      </c>
      <c r="K69" s="1285"/>
      <c r="L69" s="1286">
        <f>SUM(M69:Q69)</f>
        <v>33.32</v>
      </c>
      <c r="M69" s="2687">
        <f>M7%*$I$69</f>
        <v>14.994</v>
      </c>
      <c r="N69" s="2688">
        <f t="shared" ref="N69:Q69" si="8">N7%*$I$69</f>
        <v>11.661999999999999</v>
      </c>
      <c r="O69" s="2688">
        <f t="shared" si="8"/>
        <v>6.6640000000000006</v>
      </c>
      <c r="P69" s="2688">
        <f t="shared" si="8"/>
        <v>0</v>
      </c>
      <c r="Q69" s="2689">
        <f t="shared" si="8"/>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9">K16</f>
        <v>26.731601731601735</v>
      </c>
      <c r="L77" s="2121">
        <f t="shared" si="9"/>
        <v>0</v>
      </c>
      <c r="M77" s="2121">
        <f t="shared" si="9"/>
        <v>12.029220779220779</v>
      </c>
      <c r="N77" s="2121">
        <f t="shared" si="9"/>
        <v>9.3560606060606073</v>
      </c>
      <c r="O77" s="2121">
        <f t="shared" si="9"/>
        <v>5.3463203463203461</v>
      </c>
      <c r="P77" s="2121">
        <f t="shared" si="9"/>
        <v>0</v>
      </c>
      <c r="Q77" s="2121">
        <f t="shared" si="9"/>
        <v>0</v>
      </c>
    </row>
    <row r="78" spans="1:38" x14ac:dyDescent="0.2">
      <c r="D78" s="2121" t="s">
        <v>558</v>
      </c>
      <c r="E78" s="2121"/>
      <c r="F78" s="2121"/>
      <c r="G78" s="2121"/>
      <c r="H78" s="2121"/>
      <c r="I78" s="2121"/>
      <c r="J78" s="2121" t="s">
        <v>559</v>
      </c>
      <c r="K78" s="2121"/>
      <c r="L78" s="2121"/>
      <c r="M78" s="2121">
        <f>HLOOKUP(V$5,Energ.!$F$58:$N$66,Energ.!$A$65)</f>
        <v>2.5287500000000001</v>
      </c>
      <c r="N78" s="2121">
        <f>HLOOKUP(W$5,Energ.!$F$58:$N$66,Energ.!$A$65)</f>
        <v>2.5287500000000001</v>
      </c>
      <c r="O78" s="2121">
        <f>HLOOKUP(X$5,Energ.!$F$58:$N$66,Energ.!$A$65)</f>
        <v>2.5287500000000001</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67.597537878787875</v>
      </c>
      <c r="L79" s="2121"/>
      <c r="M79" s="2121">
        <f>M78*M16</f>
        <v>30.418892045454545</v>
      </c>
      <c r="N79" s="2121">
        <f>N78*N16</f>
        <v>23.659138257575762</v>
      </c>
      <c r="O79" s="2121">
        <f>O78*O16</f>
        <v>13.519507575757576</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H3" sqref="H3:Q3"/>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38785"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38786"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38787"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38788"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38789"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038790"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38791"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38792"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38793"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038794"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038795"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038796"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038797"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038798"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038799"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038800"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38801"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38802"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38803"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38804"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38805"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S98"/>
  <sheetViews>
    <sheetView showGridLines="0" showZeros="0" zoomScale="80" zoomScaleNormal="80" workbookViewId="0">
      <pane xSplit="13" ySplit="5" topLeftCell="N6" activePane="bottomRight" state="frozen"/>
      <selection pane="topRight"/>
      <selection pane="bottomLeft"/>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'GSilo3(a)'!K2</f>
        <v>Wiese 3x Grassilage</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'GSilo3(a)'!H3</f>
        <v>Fahrsilo, Silierwagen im Lohn, keine Übersaat</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'GSilo3(a)'!M5</f>
        <v>Silage</v>
      </c>
      <c r="O5" s="2679" t="str">
        <f>'GSilo3(a)'!N5</f>
        <v>Silage</v>
      </c>
      <c r="P5" s="2679" t="str">
        <f>'GSilo3(a)'!O5</f>
        <v>Silage</v>
      </c>
      <c r="Q5" s="2679">
        <f>'GSilo3(a)'!P5</f>
        <v>0</v>
      </c>
      <c r="R5" s="2680">
        <f>'GSilo3(a)'!Q5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'GSilo3(a)'!K6</f>
        <v>65</v>
      </c>
      <c r="N6" s="1361">
        <f>'GSilo3(a)'!M6</f>
        <v>29.25</v>
      </c>
      <c r="O6" s="1361">
        <f>'GSilo3(a)'!N6</f>
        <v>22.75</v>
      </c>
      <c r="P6" s="1361">
        <f>'GSilo3(a)'!O6</f>
        <v>13</v>
      </c>
      <c r="Q6" s="1361">
        <f>'GSilo3(a)'!P6</f>
        <v>0</v>
      </c>
      <c r="R6" s="1362">
        <f>'GSilo3(a)'!Q6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'GSilo3(a)'!K14</f>
        <v>61.750000000000007</v>
      </c>
      <c r="N7" s="391">
        <f>'GSilo3(a)'!M14</f>
        <v>27.787500000000001</v>
      </c>
      <c r="O7" s="391">
        <f>'GSilo3(a)'!N14</f>
        <v>21.612500000000001</v>
      </c>
      <c r="P7" s="391">
        <f>'GSilo3(a)'!O14</f>
        <v>12.35</v>
      </c>
      <c r="Q7" s="391">
        <f>'GSilo3(a)'!P14</f>
        <v>0</v>
      </c>
      <c r="R7" s="1299">
        <f>'GSilo3(a)'!Q14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'GSilo3(a)'!K15</f>
        <v>176.42857142857142</v>
      </c>
      <c r="N8" s="404">
        <f>'GSilo3(a)'!M15</f>
        <v>79.392857142857139</v>
      </c>
      <c r="O8" s="404">
        <f>'GSilo3(a)'!N15</f>
        <v>61.750000000000007</v>
      </c>
      <c r="P8" s="404">
        <f>'GSilo3(a)'!O15</f>
        <v>35.285714285714285</v>
      </c>
      <c r="Q8" s="404">
        <f>'GSilo3(a)'!P15</f>
        <v>0</v>
      </c>
      <c r="R8" s="1201">
        <f>'GSilo3(a)'!Q15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'GSilo3(a)'!K17</f>
        <v>57.427500000000002</v>
      </c>
      <c r="N9" s="391">
        <f>'GSilo3(a)'!M17</f>
        <v>25.842375000000001</v>
      </c>
      <c r="O9" s="391">
        <f>'GSilo3(a)'!N17</f>
        <v>20.099625</v>
      </c>
      <c r="P9" s="391">
        <f>'GSilo3(a)'!O17</f>
        <v>11.4855</v>
      </c>
      <c r="Q9" s="391">
        <f>'GSilo3(a)'!P17</f>
        <v>0</v>
      </c>
      <c r="R9" s="1299">
        <f>'GSilo3(a)'!Q17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'GSilo3(a)'!K18</f>
        <v>155.20945945945948</v>
      </c>
      <c r="N10" s="1303">
        <f>'GSilo3(a)'!M18</f>
        <v>69.844256756756764</v>
      </c>
      <c r="O10" s="1303">
        <f>'GSilo3(a)'!N18</f>
        <v>54.32331081081081</v>
      </c>
      <c r="P10" s="1303">
        <f>'GSilo3(a)'!O18</f>
        <v>31.041891891891893</v>
      </c>
      <c r="Q10" s="1303">
        <f>'GSilo3(a)'!P18</f>
        <v>0</v>
      </c>
      <c r="R10" s="1300">
        <f>'GSilo3(a)'!Q18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'GSilo3(a)'!K19</f>
        <v>0</v>
      </c>
      <c r="N11" s="1551">
        <f>'GSilo3(a)'!L19</f>
        <v>0</v>
      </c>
      <c r="O11" s="1551">
        <f>'GSilo3(a)'!M19</f>
        <v>0</v>
      </c>
      <c r="P11" s="1551">
        <f>'GSilo3(a)'!N19</f>
        <v>0</v>
      </c>
      <c r="Q11" s="1551">
        <f>'GSilo3(a)'!O19</f>
        <v>0</v>
      </c>
      <c r="R11" s="1552">
        <f>'GSilo3(a)'!P19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'GSilo3(a)'!K22</f>
        <v>3244.6537499999999</v>
      </c>
      <c r="N12" s="967">
        <f>'GSilo3(a)'!M22</f>
        <v>1498.8577499999999</v>
      </c>
      <c r="O12" s="967">
        <f>'GSilo3(a)'!N22</f>
        <v>1125.579</v>
      </c>
      <c r="P12" s="967">
        <f>'GSilo3(a)'!O22</f>
        <v>620.21699999999998</v>
      </c>
      <c r="Q12" s="967">
        <f>'GSilo3(a)'!P22</f>
        <v>0</v>
      </c>
      <c r="R12" s="1302">
        <f>'GSilo3(a)'!Q22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'GSilo3(a)'!K23</f>
        <v>5407.7562500000004</v>
      </c>
      <c r="N13" s="1521">
        <f>'GSilo3(a)'!M23</f>
        <v>2498.0962499999996</v>
      </c>
      <c r="O13" s="1521">
        <f>'GSilo3(a)'!N23</f>
        <v>1875.9650000000001</v>
      </c>
      <c r="P13" s="1521">
        <f>'GSilo3(a)'!O23</f>
        <v>1033.6950000000002</v>
      </c>
      <c r="Q13" s="1521">
        <f>'GSilo3(a)'!P23</f>
        <v>0</v>
      </c>
      <c r="R13" s="1523">
        <f>'GSilo3(a)'!Q23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'GSilo3(a)'!L32</f>
        <v>0</v>
      </c>
      <c r="N19" s="1527">
        <f>'GSilo3(a)'!M32</f>
        <v>0</v>
      </c>
      <c r="O19" s="1527">
        <f>'GSilo3(a)'!N32</f>
        <v>0</v>
      </c>
      <c r="P19" s="1527">
        <f>'GSilo3(a)'!O32</f>
        <v>0</v>
      </c>
      <c r="Q19" s="1527">
        <f>'GSilo3(a)'!P32</f>
        <v>0</v>
      </c>
      <c r="R19" s="1529">
        <f>'GSilo3(a)'!Q32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'GSilo3(a)'!L34</f>
        <v>693.40770450000002</v>
      </c>
      <c r="N20" s="235">
        <f>'GSilo3(a)'!M34</f>
        <v>312.03346702500005</v>
      </c>
      <c r="O20" s="235">
        <f>'GSilo3(a)'!N34</f>
        <v>242.69269657500001</v>
      </c>
      <c r="P20" s="235">
        <f>'GSilo3(a)'!O34</f>
        <v>138.68154089999999</v>
      </c>
      <c r="Q20" s="235">
        <f>'GSilo3(a)'!P34</f>
        <v>0</v>
      </c>
      <c r="R20" s="1192">
        <f>'GSilo3(a)'!Q34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'GSilo3(a)'!L40</f>
        <v>0</v>
      </c>
      <c r="N21" s="235">
        <f>'GSilo3(a)'!M40</f>
        <v>0</v>
      </c>
      <c r="O21" s="235">
        <f>'GSilo3(a)'!N40</f>
        <v>0</v>
      </c>
      <c r="P21" s="235">
        <f>'GSilo3(a)'!O40</f>
        <v>0</v>
      </c>
      <c r="Q21" s="235">
        <f>'GSilo3(a)'!P40</f>
        <v>0</v>
      </c>
      <c r="R21" s="1192">
        <f>'GSilo3(a)'!Q40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'GSilo3(a)'!L67</f>
        <v>33.32</v>
      </c>
      <c r="N23" s="235">
        <f>'GSilo3(a)'!M67</f>
        <v>14.994</v>
      </c>
      <c r="O23" s="235">
        <f>'GSilo3(a)'!N67</f>
        <v>11.661999999999999</v>
      </c>
      <c r="P23" s="235">
        <f>'GSilo3(a)'!O67</f>
        <v>6.6640000000000006</v>
      </c>
      <c r="Q23" s="235">
        <f>'GSilo3(a)'!P67</f>
        <v>0</v>
      </c>
      <c r="R23" s="1192">
        <f>'GSilo3(a)'!Q67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'GSilo3(a)'!L43</f>
        <v>126.643810873776</v>
      </c>
      <c r="N24" s="235">
        <f>'GSilo3(a)'!M43</f>
        <v>46.871971665392003</v>
      </c>
      <c r="O24" s="235">
        <f>'GSilo3(a)'!N43</f>
        <v>43.635461230592</v>
      </c>
      <c r="P24" s="235">
        <f>'GSilo3(a)'!O43</f>
        <v>36.136377977792002</v>
      </c>
      <c r="Q24" s="235">
        <f>'GSilo3(a)'!P43</f>
        <v>0</v>
      </c>
      <c r="R24" s="1192">
        <f>'GSilo3(a)'!Q43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'GSilo3(a)'!L59</f>
        <v>114.24</v>
      </c>
      <c r="N25" s="235">
        <f>'GSilo3(a)'!M59</f>
        <v>47.6</v>
      </c>
      <c r="O25" s="235">
        <f>'GSilo3(a)'!N59</f>
        <v>38.080000000000005</v>
      </c>
      <c r="P25" s="235">
        <f>'GSilo3(a)'!O59</f>
        <v>28.56</v>
      </c>
      <c r="Q25" s="235">
        <f>'GSilo3(a)'!P59</f>
        <v>0</v>
      </c>
      <c r="R25" s="1192">
        <f>'GSilo3(a)'!Q59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'GSilo3(a)'!L64</f>
        <v>0</v>
      </c>
      <c r="N26" s="1437">
        <f>'GSilo3(a)'!M64</f>
        <v>0</v>
      </c>
      <c r="O26" s="1437">
        <f>'GSilo3(a)'!N64</f>
        <v>0</v>
      </c>
      <c r="P26" s="1437">
        <f>'GSilo3(a)'!O64</f>
        <v>0</v>
      </c>
      <c r="Q26" s="1437">
        <f>'GSilo3(a)'!P64</f>
        <v>0</v>
      </c>
      <c r="R26" s="1439">
        <f>'GSilo3(a)'!Q64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967.61151537377611</v>
      </c>
      <c r="N27" s="1782">
        <f t="shared" si="4"/>
        <v>421.49943869039208</v>
      </c>
      <c r="O27" s="1782">
        <f t="shared" si="4"/>
        <v>336.07015780559203</v>
      </c>
      <c r="P27" s="1782">
        <f t="shared" si="4"/>
        <v>210.04191887779197</v>
      </c>
      <c r="Q27" s="1782">
        <f t="shared" si="4"/>
        <v>0</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-967.61151537377611</v>
      </c>
      <c r="N28" s="1321">
        <f t="shared" si="5"/>
        <v>-421.49943869039208</v>
      </c>
      <c r="O28" s="1321">
        <f t="shared" si="5"/>
        <v>-336.07015780559203</v>
      </c>
      <c r="P28" s="1321">
        <f t="shared" si="5"/>
        <v>-210.04191887779197</v>
      </c>
      <c r="Q28" s="1321">
        <f t="shared" si="5"/>
        <v>0</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-0.29821718738826175</v>
      </c>
      <c r="N29" s="1377">
        <f t="shared" si="6"/>
        <v>-0.28121377007951026</v>
      </c>
      <c r="O29" s="1377">
        <f t="shared" si="6"/>
        <v>-0.29857536237402443</v>
      </c>
      <c r="P29" s="1377">
        <f t="shared" si="6"/>
        <v>-0.33865875794728617</v>
      </c>
      <c r="Q29" s="1377">
        <f t="shared" si="6"/>
        <v>0</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'GSilo3(a)'!L25</f>
        <v>290</v>
      </c>
      <c r="V30" s="2115">
        <f>'GSilo3(a)'!M25</f>
        <v>130.5</v>
      </c>
      <c r="W30" s="2115">
        <f>'GSilo3(a)'!N25</f>
        <v>101.5</v>
      </c>
      <c r="X30" s="2115">
        <f>'GSilo3(a)'!O25</f>
        <v>58</v>
      </c>
      <c r="Y30" s="2115">
        <f>'GSilo3(a)'!P25</f>
        <v>0</v>
      </c>
      <c r="Z30" s="2115">
        <f>'GSilo3(a)'!Q25</f>
        <v>0</v>
      </c>
      <c r="AA30">
        <f>'GSilo3(a)'!R25+'GSilo3(a)'!R30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M27*'GSilo3(a)'!$L$72*'GSilo3(a)'!$Q$72/12/100</f>
        <v>6.0475719710861009</v>
      </c>
      <c r="N31" s="1437">
        <f>N27*'GSilo3(a)'!$L$72*'GSilo3(a)'!$Q$72/12/100</f>
        <v>2.6343714918149503</v>
      </c>
      <c r="O31" s="1437">
        <f>O27*'GSilo3(a)'!$L$72*'GSilo3(a)'!$Q$72/12/100</f>
        <v>2.1004384862849501</v>
      </c>
      <c r="P31" s="1437">
        <f>P27*'GSilo3(a)'!$L$72*'GSilo3(a)'!$Q$72/12/100</f>
        <v>1.3127619929861998</v>
      </c>
      <c r="Q31" s="1437">
        <f>Q27*'GSilo3(a)'!$L$72*'GSilo3(a)'!$Q$72/12/100</f>
        <v>0</v>
      </c>
      <c r="R31" s="1439">
        <f>R27*'GSilo3(a)'!$L$72*'GSilo3(a)'!$Q$72/12/100</f>
        <v>0</v>
      </c>
      <c r="T31" s="2112" t="s">
        <v>564</v>
      </c>
      <c r="U31" s="2115">
        <f>'GSilo3(a)'!L30</f>
        <v>270</v>
      </c>
      <c r="V31" s="2115">
        <f>'GSilo3(a)'!M30</f>
        <v>121.5</v>
      </c>
      <c r="W31" s="2115">
        <f>'GSilo3(a)'!N30</f>
        <v>94.5</v>
      </c>
      <c r="X31" s="2115">
        <f>'GSilo3(a)'!O30</f>
        <v>54</v>
      </c>
      <c r="Y31" s="2115">
        <f>'GSilo3(a)'!P30</f>
        <v>0</v>
      </c>
      <c r="Z31" s="2115">
        <f>'GSilo3(a)'!Q30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-413.6590873448622</v>
      </c>
      <c r="N32" s="1313">
        <f t="shared" si="8"/>
        <v>-172.13381018220704</v>
      </c>
      <c r="O32" s="1313">
        <f t="shared" si="8"/>
        <v>-142.17059629187699</v>
      </c>
      <c r="P32" s="1313">
        <f t="shared" si="8"/>
        <v>-99.354680870778168</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-0.12748943931070061</v>
      </c>
      <c r="N33" s="1199">
        <f t="shared" si="10"/>
        <v>-0.11484332664804719</v>
      </c>
      <c r="O33" s="1199">
        <f t="shared" si="10"/>
        <v>-0.12630885641245707</v>
      </c>
      <c r="P33" s="1199">
        <f t="shared" si="10"/>
        <v>-0.16019341757929592</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-7.6493663586420374E-2</v>
      </c>
      <c r="N34" s="1599">
        <f t="shared" si="11"/>
        <v>-6.8905995988828322E-2</v>
      </c>
      <c r="O34" s="1599">
        <f t="shared" si="11"/>
        <v>-7.5785313847474223E-2</v>
      </c>
      <c r="P34" s="1599">
        <f t="shared" si="11"/>
        <v>-9.6116050547577533E-2</v>
      </c>
      <c r="Q34" s="1599">
        <f t="shared" si="11"/>
        <v>0</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'GSilo3(a)'!K58</f>
        <v>7.8793600000000001</v>
      </c>
      <c r="N36" s="1772">
        <f>'GSilo3(a)'!M58</f>
        <v>2.9395199999999999</v>
      </c>
      <c r="O36" s="1772">
        <f>'GSilo3(a)'!N58</f>
        <v>2.7571200000000005</v>
      </c>
      <c r="P36" s="1772">
        <f>'GSilo3(a)'!O58</f>
        <v>2.1827200000000002</v>
      </c>
      <c r="Q36" s="1772">
        <f>'GSilo3(a)'!P58</f>
        <v>0</v>
      </c>
      <c r="R36" s="1773">
        <f>'GSilo3(a)'!Q58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'GSilo3(a)'!K16</f>
        <v>26.731601731601735</v>
      </c>
      <c r="N37" s="1775">
        <f>'GSilo3(a)'!M16</f>
        <v>12.029220779220779</v>
      </c>
      <c r="O37" s="1775">
        <f>'GSilo3(a)'!N16</f>
        <v>9.3560606060606073</v>
      </c>
      <c r="P37" s="1775">
        <f>'GSilo3(a)'!O16</f>
        <v>5.3463203463203461</v>
      </c>
      <c r="Q37" s="1775">
        <f>'GSilo3(a)'!P16</f>
        <v>0</v>
      </c>
      <c r="R37" s="1776">
        <f>'GSilo3(a)'!Q16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'GSilo3(a)'!M78</f>
        <v>2.5287500000000001</v>
      </c>
      <c r="O38" s="1565">
        <f>'GSilo3(a)'!N78</f>
        <v>2.5287500000000001</v>
      </c>
      <c r="P38" s="1565">
        <f>'GSilo3(a)'!O78</f>
        <v>2.5287500000000001</v>
      </c>
      <c r="Q38" s="1565">
        <f>'GSilo3(a)'!P78</f>
        <v>0</v>
      </c>
      <c r="R38" s="1566">
        <f>'GSilo3(a)'!Q78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130.00944000000001</v>
      </c>
      <c r="N39" s="235">
        <f t="shared" si="13"/>
        <v>48.502079999999999</v>
      </c>
      <c r="O39" s="235">
        <f t="shared" si="13"/>
        <v>45.492480000000008</v>
      </c>
      <c r="P39" s="235">
        <f t="shared" si="13"/>
        <v>36.014880000000005</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67.597537878787875</v>
      </c>
      <c r="N40" s="235">
        <f>N37*N38</f>
        <v>30.418892045454545</v>
      </c>
      <c r="O40" s="235">
        <f>O37*O38</f>
        <v>23.659138257575762</v>
      </c>
      <c r="P40" s="235">
        <f>P37*P38</f>
        <v>13.519507575757576</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Maschinen!S43</f>
        <v>312.80863780303025</v>
      </c>
      <c r="N41" s="235">
        <f>N$6/$M$6*$M$41</f>
        <v>140.76388701136361</v>
      </c>
      <c r="O41" s="235">
        <f>O$6/$M$6*$M$41</f>
        <v>109.48302323106059</v>
      </c>
      <c r="P41" s="235">
        <f>P$6/$M$6*$M$41</f>
        <v>62.561727560606052</v>
      </c>
      <c r="Q41" s="235">
        <f>Q$6/$M$6*$M$41</f>
        <v>0</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754.18936568181823</v>
      </c>
      <c r="N45" s="1449">
        <f t="shared" si="14"/>
        <v>329.38304655681816</v>
      </c>
      <c r="O45" s="1449">
        <f t="shared" si="14"/>
        <v>263.95545398863635</v>
      </c>
      <c r="P45" s="1449">
        <f t="shared" si="14"/>
        <v>160.85086513636364</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1727.8484530266805</v>
      </c>
      <c r="N48" s="1577">
        <f t="shared" si="16"/>
        <v>753.51685673902512</v>
      </c>
      <c r="O48" s="1497">
        <f t="shared" si="16"/>
        <v>602.12605028051325</v>
      </c>
      <c r="P48" s="1497">
        <f t="shared" si="16"/>
        <v>372.20554600714183</v>
      </c>
      <c r="Q48" s="1497">
        <f t="shared" si="16"/>
        <v>0</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-1727.8484530266805</v>
      </c>
      <c r="N49" s="1575">
        <f t="shared" si="17"/>
        <v>-753.51685673902512</v>
      </c>
      <c r="O49" s="1316">
        <f t="shared" si="17"/>
        <v>-602.12605028051325</v>
      </c>
      <c r="P49" s="1316">
        <f t="shared" si="17"/>
        <v>-372.20554600714183</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-0.53252167601140199</v>
      </c>
      <c r="N50" s="1854">
        <f t="shared" si="18"/>
        <v>-0.50272739807298272</v>
      </c>
      <c r="O50" s="1614">
        <f t="shared" si="18"/>
        <v>-0.53494783598531359</v>
      </c>
      <c r="P50" s="1614">
        <f t="shared" si="18"/>
        <v>-0.60012148329881609</v>
      </c>
      <c r="Q50" s="1614">
        <f t="shared" si="18"/>
        <v>0</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-1167.8484530266805</v>
      </c>
      <c r="N52" s="1622">
        <f t="shared" si="20"/>
        <v>-501.51685673902512</v>
      </c>
      <c r="O52" s="1537">
        <f t="shared" si="20"/>
        <v>-406.12605028051325</v>
      </c>
      <c r="P52" s="1537">
        <f t="shared" si="20"/>
        <v>-260.20554600714183</v>
      </c>
      <c r="Q52" s="1537">
        <f t="shared" si="20"/>
        <v>0</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-0.35993007051266429</v>
      </c>
      <c r="N53" s="1854">
        <f t="shared" si="21"/>
        <v>-0.33459936857852263</v>
      </c>
      <c r="O53" s="1614">
        <f t="shared" si="21"/>
        <v>-0.36081523400890853</v>
      </c>
      <c r="P53" s="1614">
        <f t="shared" si="21"/>
        <v>-0.41953952569365532</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1167.8484530266805</v>
      </c>
      <c r="N55" s="1494">
        <f t="shared" si="22"/>
        <v>501.51685673902512</v>
      </c>
      <c r="O55" s="1494">
        <f t="shared" si="22"/>
        <v>406.12605028051325</v>
      </c>
      <c r="P55" s="1494">
        <f t="shared" si="22"/>
        <v>260.20554600714183</v>
      </c>
      <c r="Q55" s="1494">
        <f t="shared" si="22"/>
        <v>0</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7.5243381240672456</v>
      </c>
      <c r="N56" s="1559">
        <f t="shared" si="24"/>
        <v>7.1805024496950951</v>
      </c>
      <c r="O56" s="1559">
        <f t="shared" si="24"/>
        <v>7.4760916486645845</v>
      </c>
      <c r="P56" s="1559">
        <f t="shared" si="24"/>
        <v>8.3823997233592333</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20.336048983965529</v>
      </c>
      <c r="N57" s="2174">
        <f>IF($N$9=0,0,N$55/$N$9)</f>
        <v>19.406763377554313</v>
      </c>
      <c r="O57" s="2174">
        <f>IF($O$9=0,0,O$55/$O$9)</f>
        <v>20.205653104498879</v>
      </c>
      <c r="P57" s="2174">
        <f>IF($P$9=0,0,P$55/$P$9)</f>
        <v>22.655134387457387</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0.35993007051266429</v>
      </c>
      <c r="N59" s="1586">
        <f t="shared" si="25"/>
        <v>0.33459936857852263</v>
      </c>
      <c r="O59" s="1586">
        <f t="shared" si="25"/>
        <v>0.36081523400890853</v>
      </c>
      <c r="P59" s="1586">
        <f t="shared" si="25"/>
        <v>0.41953952569365532</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9.9980575142406755E-2</v>
      </c>
      <c r="N60" s="1586">
        <f t="shared" si="26"/>
        <v>9.294426904958962E-2</v>
      </c>
      <c r="O60" s="1586">
        <f t="shared" si="26"/>
        <v>0.10022645389136348</v>
      </c>
      <c r="P60" s="1586">
        <f t="shared" si="26"/>
        <v>0.11653875713712647</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0.35993007051266429</v>
      </c>
      <c r="N61" s="1586">
        <f t="shared" si="27"/>
        <v>0.33459936857852263</v>
      </c>
      <c r="O61" s="1586">
        <f t="shared" si="27"/>
        <v>0.36081523400890853</v>
      </c>
      <c r="P61" s="1586">
        <f t="shared" si="27"/>
        <v>0.41953952569365532</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0.21595804230759855</v>
      </c>
      <c r="N62" s="1856">
        <f t="shared" si="28"/>
        <v>0.2007596211471136</v>
      </c>
      <c r="O62" s="1856">
        <f t="shared" si="28"/>
        <v>0.21648914040534512</v>
      </c>
      <c r="P62" s="1856">
        <f t="shared" si="28"/>
        <v>0.25172371541619315</v>
      </c>
      <c r="Q62" s="1856">
        <f t="shared" si="28"/>
        <v>0</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1100.2509151478926</v>
      </c>
      <c r="N63" s="1313">
        <f t="shared" si="29"/>
        <v>471.09796469357059</v>
      </c>
      <c r="O63" s="1313">
        <f t="shared" si="29"/>
        <v>382.46691202293749</v>
      </c>
      <c r="P63" s="1313">
        <f t="shared" si="29"/>
        <v>246.68603843138425</v>
      </c>
      <c r="Q63" s="1313">
        <f t="shared" si="29"/>
        <v>0</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19.158955468162336</v>
      </c>
      <c r="N64" s="2174">
        <f>IF($N$9=0,0,N$63/$N$9)</f>
        <v>18.22966986175112</v>
      </c>
      <c r="O64" s="2174">
        <f>IF($O$9=0,0,O$63/$O$9)</f>
        <v>19.028559588695686</v>
      </c>
      <c r="P64" s="2174">
        <f>IF($P$9=0,0,P$63/$P$9)</f>
        <v>21.478040871654194</v>
      </c>
      <c r="Q64" s="2174">
        <f>IF($Q$9=0,0,Q$63/$Q$9)</f>
        <v>0</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0.33909655695862545</v>
      </c>
      <c r="N65" s="1615">
        <f t="shared" si="30"/>
        <v>0.31430465278881242</v>
      </c>
      <c r="O65" s="1615">
        <f t="shared" si="30"/>
        <v>0.33979570694099437</v>
      </c>
      <c r="P65" s="1615">
        <f t="shared" si="30"/>
        <v>0.3977414976232258</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0.20345793417517524</v>
      </c>
      <c r="N66" s="1617">
        <f t="shared" si="30"/>
        <v>0.18858279167328748</v>
      </c>
      <c r="O66" s="1617">
        <f t="shared" si="30"/>
        <v>0.20387742416459659</v>
      </c>
      <c r="P66" s="1617">
        <f t="shared" si="30"/>
        <v>0.23864489857393545</v>
      </c>
      <c r="Q66" s="1617">
        <f t="shared" si="30"/>
        <v>0</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732.77527647108616</v>
      </c>
      <c r="N68" s="1316">
        <f t="shared" si="31"/>
        <v>329.66183851681501</v>
      </c>
      <c r="O68" s="1316">
        <f t="shared" si="31"/>
        <v>256.45513506128498</v>
      </c>
      <c r="P68" s="1316">
        <f t="shared" si="31"/>
        <v>146.65830289298617</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0.22584082399272531</v>
      </c>
      <c r="N69" s="1487">
        <f t="shared" si="32"/>
        <v>0.21994204487838492</v>
      </c>
      <c r="O69" s="1487">
        <f t="shared" si="32"/>
        <v>0.22784285693077516</v>
      </c>
      <c r="P69" s="1487">
        <f t="shared" si="32"/>
        <v>0.23646288781666122</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683.70188867680622</v>
      </c>
      <c r="N70" s="1313">
        <f t="shared" si="33"/>
        <v>283.73793867675562</v>
      </c>
      <c r="O70" s="1313">
        <f t="shared" si="33"/>
        <v>236.69096446165258</v>
      </c>
      <c r="P70" s="1313">
        <f t="shared" si="33"/>
        <v>163.27298553839805</v>
      </c>
      <c r="Q70" s="1313">
        <f t="shared" si="33"/>
        <v>0</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0.21071644044508794</v>
      </c>
      <c r="N71" s="1614">
        <f t="shared" si="34"/>
        <v>0.18930277985136057</v>
      </c>
      <c r="O71" s="1614">
        <f t="shared" si="34"/>
        <v>0.21028374237761419</v>
      </c>
      <c r="P71" s="1614">
        <f t="shared" si="34"/>
        <v>0.26325138707645557</v>
      </c>
      <c r="Q71" s="1614">
        <f t="shared" si="34"/>
        <v>0</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41" sqref="M41"/>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N238"/>
  <sheetViews>
    <sheetView showGridLines="0" zoomScale="93" zoomScaleNormal="93" zoomScaleSheetLayoutView="120" workbookViewId="0"/>
  </sheetViews>
  <sheetFormatPr baseColWidth="10" defaultRowHeight="12.9" x14ac:dyDescent="0.2"/>
  <cols>
    <col min="1" max="1" width="6.375" customWidth="1"/>
    <col min="2" max="7" width="11.375" style="1950"/>
    <col min="8" max="8" width="13.5" style="1950" customWidth="1"/>
    <col min="9" max="9" width="13.375" style="1950" customWidth="1"/>
    <col min="10" max="11" width="7.375" customWidth="1"/>
    <col min="12" max="12" width="18" customWidth="1"/>
  </cols>
  <sheetData>
    <row r="1" spans="2:14" ht="14.3" customHeight="1" x14ac:dyDescent="0.2">
      <c r="C1" s="3169" t="s">
        <v>176</v>
      </c>
      <c r="D1" s="3169"/>
      <c r="E1" s="3169"/>
      <c r="F1" s="3169"/>
      <c r="G1" s="3169"/>
    </row>
    <row r="2" spans="2:14" x14ac:dyDescent="0.2">
      <c r="B2"/>
      <c r="C2"/>
      <c r="D2"/>
      <c r="E2"/>
      <c r="F2"/>
      <c r="G2"/>
      <c r="H2"/>
      <c r="I2"/>
    </row>
    <row r="3" spans="2:14" ht="24.45" customHeight="1" x14ac:dyDescent="0.35">
      <c r="B3" s="2721" t="s">
        <v>963</v>
      </c>
      <c r="C3" s="163"/>
      <c r="D3" s="163"/>
      <c r="E3" s="163"/>
      <c r="F3" s="163"/>
      <c r="G3" s="163"/>
      <c r="H3" s="163"/>
      <c r="I3" s="163"/>
    </row>
    <row r="4" spans="2:14" ht="44.85" customHeight="1" x14ac:dyDescent="0.25">
      <c r="B4" s="3170" t="s">
        <v>964</v>
      </c>
      <c r="C4" s="3170"/>
      <c r="D4" s="3170"/>
      <c r="E4" s="3170"/>
      <c r="F4" s="3170"/>
      <c r="G4" s="3170"/>
      <c r="H4" s="3170"/>
      <c r="I4" s="3170"/>
    </row>
    <row r="5" spans="2:14" ht="117.7" customHeight="1" thickBot="1" x14ac:dyDescent="0.3">
      <c r="B5" s="3170" t="s">
        <v>965</v>
      </c>
      <c r="C5" s="3170"/>
      <c r="D5" s="3170"/>
      <c r="E5" s="3170"/>
      <c r="F5" s="3170"/>
      <c r="G5" s="3170"/>
      <c r="H5" s="3170"/>
      <c r="I5" s="3170"/>
    </row>
    <row r="6" spans="2:14" ht="14.3" customHeight="1" x14ac:dyDescent="0.25">
      <c r="B6"/>
      <c r="C6"/>
      <c r="D6"/>
      <c r="E6"/>
      <c r="F6"/>
      <c r="G6"/>
      <c r="H6"/>
      <c r="I6"/>
      <c r="K6" s="2333" t="s">
        <v>1249</v>
      </c>
      <c r="L6" s="2334"/>
      <c r="M6" s="2334"/>
      <c r="N6" s="2335"/>
    </row>
    <row r="7" spans="2:14" ht="20.399999999999999" customHeight="1" x14ac:dyDescent="0.35">
      <c r="B7" s="2719" t="s">
        <v>966</v>
      </c>
      <c r="C7"/>
      <c r="D7"/>
      <c r="E7"/>
      <c r="F7"/>
      <c r="G7"/>
      <c r="H7"/>
      <c r="I7"/>
      <c r="K7" s="2336" t="s">
        <v>763</v>
      </c>
      <c r="L7" s="2337"/>
      <c r="M7" s="2337"/>
      <c r="N7" s="2338"/>
    </row>
    <row r="8" spans="2:14" ht="13.6" customHeight="1" x14ac:dyDescent="0.25">
      <c r="B8"/>
      <c r="C8"/>
      <c r="D8"/>
      <c r="E8"/>
      <c r="F8"/>
      <c r="G8"/>
      <c r="H8"/>
      <c r="I8"/>
      <c r="K8" s="2336" t="s">
        <v>764</v>
      </c>
      <c r="L8" s="2337"/>
      <c r="M8" s="2337"/>
      <c r="N8" s="2338"/>
    </row>
    <row r="9" spans="2:14" ht="15.65" customHeight="1" x14ac:dyDescent="0.25">
      <c r="B9"/>
      <c r="C9"/>
      <c r="D9"/>
      <c r="E9"/>
      <c r="F9"/>
      <c r="G9"/>
      <c r="H9"/>
      <c r="I9"/>
      <c r="K9" s="2336" t="s">
        <v>765</v>
      </c>
      <c r="L9" s="2337"/>
      <c r="M9" s="2337"/>
      <c r="N9" s="2338"/>
    </row>
    <row r="10" spans="2:14" ht="12.9" customHeight="1" x14ac:dyDescent="0.25">
      <c r="B10"/>
      <c r="C10"/>
      <c r="D10"/>
      <c r="E10"/>
      <c r="F10"/>
      <c r="G10"/>
      <c r="H10"/>
      <c r="I10"/>
      <c r="K10" s="2336" t="s">
        <v>766</v>
      </c>
      <c r="L10" s="2336"/>
      <c r="M10" s="2336"/>
      <c r="N10" s="3009"/>
    </row>
    <row r="11" spans="2:14" ht="13.6" customHeight="1" thickBot="1" x14ac:dyDescent="0.3">
      <c r="B11"/>
      <c r="C11"/>
      <c r="D11"/>
      <c r="E11"/>
      <c r="F11"/>
      <c r="G11"/>
      <c r="H11"/>
      <c r="I11"/>
      <c r="K11" s="2339"/>
      <c r="L11" s="2340"/>
      <c r="M11" s="2340"/>
      <c r="N11" s="2341"/>
    </row>
    <row r="12" spans="2:14" x14ac:dyDescent="0.2">
      <c r="B12"/>
      <c r="C12"/>
      <c r="D12"/>
      <c r="E12"/>
      <c r="F12"/>
      <c r="G12"/>
      <c r="H12"/>
      <c r="I12"/>
    </row>
    <row r="13" spans="2:14" x14ac:dyDescent="0.2">
      <c r="B13"/>
      <c r="C13"/>
      <c r="D13"/>
      <c r="E13"/>
      <c r="F13"/>
      <c r="G13"/>
      <c r="H13"/>
      <c r="I13"/>
    </row>
    <row r="14" spans="2:14" x14ac:dyDescent="0.2">
      <c r="B14"/>
      <c r="C14"/>
      <c r="D14"/>
      <c r="E14"/>
      <c r="F14"/>
      <c r="G14"/>
      <c r="H14"/>
      <c r="I14"/>
    </row>
    <row r="15" spans="2:14" ht="17" customHeight="1" x14ac:dyDescent="0.2">
      <c r="B15"/>
      <c r="C15"/>
      <c r="D15"/>
      <c r="E15"/>
      <c r="F15"/>
      <c r="G15"/>
      <c r="H15"/>
      <c r="I15"/>
    </row>
    <row r="16" spans="2:14" x14ac:dyDescent="0.2">
      <c r="B16"/>
      <c r="C16"/>
      <c r="D16"/>
      <c r="E16"/>
      <c r="F16"/>
      <c r="G16"/>
      <c r="H16"/>
      <c r="I16"/>
    </row>
    <row r="17" spans="2:9" ht="13.6" customHeight="1" x14ac:dyDescent="0.2">
      <c r="B17"/>
      <c r="C17"/>
      <c r="D17"/>
      <c r="E17"/>
      <c r="F17"/>
      <c r="G17"/>
      <c r="H17"/>
      <c r="I17"/>
    </row>
    <row r="18" spans="2:9" x14ac:dyDescent="0.2">
      <c r="B18"/>
      <c r="C18"/>
      <c r="D18"/>
      <c r="E18"/>
      <c r="F18"/>
      <c r="G18"/>
      <c r="H18"/>
      <c r="I18"/>
    </row>
    <row r="19" spans="2:9" ht="13.6" customHeight="1" x14ac:dyDescent="0.2">
      <c r="B19"/>
      <c r="C19"/>
      <c r="D19"/>
      <c r="E19"/>
      <c r="F19"/>
      <c r="G19"/>
      <c r="H19"/>
      <c r="I19"/>
    </row>
    <row r="20" spans="2:9" x14ac:dyDescent="0.2">
      <c r="B20"/>
      <c r="C20"/>
      <c r="D20"/>
      <c r="E20"/>
      <c r="F20"/>
      <c r="G20"/>
      <c r="H20"/>
      <c r="I20"/>
    </row>
    <row r="21" spans="2:9" x14ac:dyDescent="0.2">
      <c r="B21"/>
      <c r="C21"/>
      <c r="D21"/>
      <c r="E21"/>
      <c r="F21"/>
      <c r="G21"/>
      <c r="H21"/>
      <c r="I21"/>
    </row>
    <row r="22" spans="2:9" x14ac:dyDescent="0.2">
      <c r="B22"/>
      <c r="C22"/>
      <c r="D22"/>
      <c r="E22"/>
      <c r="F22"/>
      <c r="G22"/>
      <c r="H22"/>
      <c r="I22"/>
    </row>
    <row r="23" spans="2:9" x14ac:dyDescent="0.2">
      <c r="B23"/>
      <c r="C23"/>
      <c r="D23"/>
      <c r="E23"/>
      <c r="F23"/>
      <c r="G23"/>
      <c r="H23"/>
      <c r="I23"/>
    </row>
    <row r="24" spans="2:9" x14ac:dyDescent="0.2">
      <c r="B24"/>
      <c r="C24"/>
      <c r="D24"/>
      <c r="E24"/>
      <c r="F24"/>
      <c r="G24"/>
      <c r="H24"/>
      <c r="I24"/>
    </row>
    <row r="25" spans="2:9" ht="14.3" customHeight="1" x14ac:dyDescent="0.2">
      <c r="B25"/>
      <c r="C25"/>
      <c r="D25"/>
      <c r="E25"/>
      <c r="F25"/>
      <c r="G25"/>
      <c r="H25"/>
      <c r="I25"/>
    </row>
    <row r="26" spans="2:9" ht="15.65" x14ac:dyDescent="0.25">
      <c r="B26" s="3171" t="s">
        <v>967</v>
      </c>
      <c r="C26" s="3171"/>
      <c r="D26" s="3171"/>
      <c r="E26" s="3171"/>
      <c r="F26" s="3171"/>
      <c r="G26" s="3171"/>
      <c r="H26" s="3171"/>
      <c r="I26" s="3171"/>
    </row>
    <row r="27" spans="2:9" ht="2.25" customHeight="1" x14ac:dyDescent="0.25">
      <c r="B27" s="2720" t="s">
        <v>111</v>
      </c>
      <c r="C27"/>
      <c r="D27"/>
      <c r="E27"/>
      <c r="F27"/>
      <c r="G27"/>
      <c r="H27"/>
      <c r="I27"/>
    </row>
    <row r="28" spans="2:9" ht="31.25" customHeight="1" x14ac:dyDescent="0.25">
      <c r="B28" s="3171" t="s">
        <v>968</v>
      </c>
      <c r="C28" s="3171"/>
      <c r="D28" s="3171"/>
      <c r="E28" s="3171"/>
      <c r="F28" s="3171"/>
      <c r="G28" s="3171"/>
      <c r="H28" s="3171"/>
      <c r="I28" s="3171"/>
    </row>
    <row r="29" spans="2:9" ht="48.4" customHeight="1" x14ac:dyDescent="0.25">
      <c r="B29" s="3171" t="s">
        <v>969</v>
      </c>
      <c r="C29" s="3171"/>
      <c r="D29" s="3171"/>
      <c r="E29" s="3171"/>
      <c r="F29" s="3171"/>
      <c r="G29" s="3171"/>
      <c r="H29" s="3171"/>
      <c r="I29" s="3171"/>
    </row>
    <row r="30" spans="2:9" ht="114.8" customHeight="1" x14ac:dyDescent="0.25">
      <c r="B30" s="3172" t="s">
        <v>970</v>
      </c>
      <c r="C30" s="3172"/>
      <c r="D30" s="3172"/>
      <c r="E30" s="3172"/>
      <c r="F30" s="3172"/>
      <c r="G30" s="3172"/>
      <c r="H30" s="3172"/>
      <c r="I30" s="3172"/>
    </row>
    <row r="31" spans="2:9" ht="21.25" customHeight="1" x14ac:dyDescent="0.2">
      <c r="B31"/>
      <c r="C31"/>
      <c r="D31"/>
      <c r="E31"/>
      <c r="F31"/>
      <c r="G31"/>
      <c r="H31"/>
      <c r="I31"/>
    </row>
    <row r="32" spans="2:9" ht="21.1" x14ac:dyDescent="0.35">
      <c r="B32" s="2719" t="s">
        <v>971</v>
      </c>
      <c r="C32"/>
      <c r="D32"/>
      <c r="E32"/>
      <c r="F32"/>
      <c r="G32"/>
      <c r="H32"/>
      <c r="I32"/>
    </row>
    <row r="33" spans="2:9" ht="40.25" customHeight="1" x14ac:dyDescent="0.25">
      <c r="B33" s="3172" t="s">
        <v>972</v>
      </c>
      <c r="C33" s="3172"/>
      <c r="D33" s="3172"/>
      <c r="E33" s="3172"/>
      <c r="F33" s="3172"/>
      <c r="G33" s="3172"/>
      <c r="H33" s="3172"/>
      <c r="I33" s="3172"/>
    </row>
    <row r="34" spans="2:9" ht="97.15" customHeight="1" x14ac:dyDescent="0.3">
      <c r="B34" s="3172" t="s">
        <v>973</v>
      </c>
      <c r="C34" s="3172"/>
      <c r="D34" s="3172"/>
      <c r="E34" s="3172"/>
      <c r="F34" s="3172"/>
      <c r="G34" s="3172"/>
      <c r="H34" s="3172"/>
      <c r="I34" s="3172"/>
    </row>
    <row r="35" spans="2:9" ht="62.7" customHeight="1" x14ac:dyDescent="0.25">
      <c r="B35" s="3172" t="s">
        <v>974</v>
      </c>
      <c r="C35" s="3172"/>
      <c r="D35" s="3172"/>
      <c r="E35" s="3172"/>
      <c r="F35" s="3172"/>
      <c r="G35" s="3172"/>
      <c r="H35" s="3172"/>
      <c r="I35" s="3172"/>
    </row>
    <row r="36" spans="2:9" ht="80.849999999999994" customHeight="1" x14ac:dyDescent="0.25">
      <c r="B36" s="3172" t="s">
        <v>975</v>
      </c>
      <c r="C36" s="3172"/>
      <c r="D36" s="3172"/>
      <c r="E36" s="3172"/>
      <c r="F36" s="3172"/>
      <c r="G36" s="3172"/>
      <c r="H36" s="3172"/>
      <c r="I36" s="3172"/>
    </row>
    <row r="37" spans="2:9" ht="169.85" customHeight="1" x14ac:dyDescent="0.25">
      <c r="B37" s="3172" t="s">
        <v>976</v>
      </c>
      <c r="C37" s="3172"/>
      <c r="D37" s="3172"/>
      <c r="E37" s="3172"/>
      <c r="F37" s="3172"/>
      <c r="G37" s="3172"/>
      <c r="H37" s="3172"/>
      <c r="I37" s="3172"/>
    </row>
    <row r="38" spans="2:9" ht="63.85" customHeight="1" x14ac:dyDescent="0.25">
      <c r="B38" s="3172" t="s">
        <v>977</v>
      </c>
      <c r="C38" s="3172"/>
      <c r="D38" s="3172"/>
      <c r="E38" s="3172"/>
      <c r="F38" s="3172"/>
      <c r="G38" s="3172"/>
      <c r="H38" s="3172"/>
      <c r="I38" s="3172"/>
    </row>
    <row r="39" spans="2:9" x14ac:dyDescent="0.2">
      <c r="B39"/>
      <c r="C39"/>
      <c r="D39"/>
      <c r="E39"/>
      <c r="F39"/>
      <c r="G39"/>
      <c r="H39"/>
      <c r="I39"/>
    </row>
    <row r="40" spans="2:9" ht="21.1" x14ac:dyDescent="0.35">
      <c r="B40" s="2719" t="s">
        <v>978</v>
      </c>
      <c r="C40"/>
      <c r="D40"/>
      <c r="E40"/>
      <c r="F40"/>
      <c r="G40"/>
      <c r="H40"/>
      <c r="I40"/>
    </row>
    <row r="41" spans="2:9" ht="21.1" x14ac:dyDescent="0.35">
      <c r="B41" s="2719" t="s">
        <v>979</v>
      </c>
      <c r="C41"/>
      <c r="D41"/>
      <c r="E41"/>
      <c r="F41"/>
      <c r="G41"/>
      <c r="H41"/>
      <c r="I41"/>
    </row>
    <row r="42" spans="2:9" x14ac:dyDescent="0.2">
      <c r="B42"/>
      <c r="C42"/>
      <c r="D42"/>
      <c r="E42"/>
      <c r="F42"/>
      <c r="G42"/>
      <c r="H42"/>
      <c r="I42"/>
    </row>
    <row r="43" spans="2:9" ht="65.25" customHeight="1" x14ac:dyDescent="0.25">
      <c r="B43" s="3173" t="s">
        <v>980</v>
      </c>
      <c r="C43" s="3173"/>
      <c r="D43" s="3173"/>
      <c r="E43" s="3173"/>
      <c r="F43" s="3173"/>
      <c r="G43" s="3173"/>
      <c r="H43" s="3173"/>
      <c r="I43" s="3173"/>
    </row>
    <row r="44" spans="2:9" ht="42.15" customHeight="1" x14ac:dyDescent="0.25">
      <c r="B44" s="3173" t="s">
        <v>981</v>
      </c>
      <c r="C44" s="3173"/>
      <c r="D44" s="3173"/>
      <c r="E44" s="3173"/>
      <c r="F44" s="3173"/>
      <c r="G44" s="3173"/>
      <c r="H44" s="3173"/>
      <c r="I44" s="3173"/>
    </row>
    <row r="45" spans="2:9" ht="46.9" customHeight="1" x14ac:dyDescent="0.25">
      <c r="B45" s="3173" t="s">
        <v>982</v>
      </c>
      <c r="C45" s="3173"/>
      <c r="D45" s="3173"/>
      <c r="E45" s="3173"/>
      <c r="F45" s="3173"/>
      <c r="G45" s="3173"/>
      <c r="H45" s="3173"/>
      <c r="I45" s="3173"/>
    </row>
    <row r="46" spans="2:9" ht="93.6" customHeight="1" x14ac:dyDescent="0.25">
      <c r="B46" s="3173" t="s">
        <v>1281</v>
      </c>
      <c r="C46" s="3173"/>
      <c r="D46" s="3173"/>
      <c r="E46" s="3173"/>
      <c r="F46" s="3173"/>
      <c r="G46" s="3173"/>
      <c r="H46" s="3173"/>
      <c r="I46" s="3173"/>
    </row>
    <row r="47" spans="2:9" ht="68.45" customHeight="1" x14ac:dyDescent="0.25">
      <c r="B47" s="3173" t="s">
        <v>983</v>
      </c>
      <c r="C47" s="3173"/>
      <c r="D47" s="3173"/>
      <c r="E47" s="3173"/>
      <c r="F47" s="3173"/>
      <c r="G47" s="3173"/>
      <c r="H47" s="3173"/>
      <c r="I47" s="3173"/>
    </row>
    <row r="48" spans="2:9" ht="78.8" customHeight="1" x14ac:dyDescent="0.25">
      <c r="B48" s="3173" t="s">
        <v>984</v>
      </c>
      <c r="C48" s="3173"/>
      <c r="D48" s="3173"/>
      <c r="E48" s="3173"/>
      <c r="F48" s="3173"/>
      <c r="G48" s="3173"/>
      <c r="H48" s="3173"/>
      <c r="I48" s="3173"/>
    </row>
    <row r="49" spans="2:9" ht="67.25" customHeight="1" x14ac:dyDescent="0.25">
      <c r="B49" s="3173" t="s">
        <v>985</v>
      </c>
      <c r="C49" s="3173"/>
      <c r="D49" s="3173"/>
      <c r="E49" s="3173"/>
      <c r="F49" s="3173"/>
      <c r="G49" s="3173"/>
      <c r="H49" s="3173"/>
      <c r="I49" s="3173"/>
    </row>
    <row r="50" spans="2:9" ht="34.15" customHeight="1" x14ac:dyDescent="0.25">
      <c r="B50" s="3173" t="s">
        <v>1282</v>
      </c>
      <c r="C50" s="3173"/>
      <c r="D50" s="3173"/>
      <c r="E50" s="3173"/>
      <c r="F50" s="3173"/>
      <c r="G50" s="3173"/>
      <c r="H50" s="3173"/>
      <c r="I50" s="3173"/>
    </row>
    <row r="51" spans="2:9" ht="34.15" customHeight="1" x14ac:dyDescent="0.25">
      <c r="B51" s="3173" t="s">
        <v>986</v>
      </c>
      <c r="C51" s="3173"/>
      <c r="D51" s="3173"/>
      <c r="E51" s="3173"/>
      <c r="F51" s="3173"/>
      <c r="G51" s="3173"/>
      <c r="H51" s="3173"/>
      <c r="I51" s="3173"/>
    </row>
    <row r="52" spans="2:9" x14ac:dyDescent="0.2">
      <c r="B52"/>
      <c r="C52"/>
      <c r="D52"/>
      <c r="E52"/>
      <c r="F52"/>
      <c r="G52"/>
      <c r="H52"/>
      <c r="I52"/>
    </row>
    <row r="53" spans="2:9" ht="21.1" x14ac:dyDescent="0.35">
      <c r="B53" s="2719" t="s">
        <v>766</v>
      </c>
      <c r="C53"/>
      <c r="D53"/>
      <c r="E53"/>
      <c r="F53"/>
      <c r="G53"/>
      <c r="H53"/>
      <c r="I53"/>
    </row>
    <row r="54" spans="2:9" ht="21.1" x14ac:dyDescent="0.35">
      <c r="B54" s="2719" t="s">
        <v>987</v>
      </c>
      <c r="C54"/>
      <c r="D54"/>
      <c r="E54"/>
      <c r="F54"/>
      <c r="G54"/>
      <c r="H54"/>
      <c r="I54"/>
    </row>
    <row r="55" spans="2:9" x14ac:dyDescent="0.2">
      <c r="B55"/>
      <c r="C55"/>
      <c r="D55"/>
      <c r="E55"/>
      <c r="F55"/>
      <c r="G55"/>
      <c r="H55"/>
      <c r="I55"/>
    </row>
    <row r="56" spans="2:9" ht="51.65" customHeight="1" x14ac:dyDescent="0.25">
      <c r="B56" s="3173" t="s">
        <v>988</v>
      </c>
      <c r="C56" s="3173"/>
      <c r="D56" s="3173"/>
      <c r="E56" s="3173"/>
      <c r="F56" s="3173"/>
      <c r="G56" s="3173"/>
      <c r="H56" s="3173"/>
      <c r="I56" s="3173"/>
    </row>
    <row r="57" spans="2:9" ht="61.15" customHeight="1" x14ac:dyDescent="0.25">
      <c r="B57" s="3173" t="s">
        <v>1283</v>
      </c>
      <c r="C57" s="3173"/>
      <c r="D57" s="3173"/>
      <c r="E57" s="3173"/>
      <c r="F57" s="3173"/>
      <c r="G57" s="3173"/>
      <c r="H57" s="3173"/>
      <c r="I57" s="3173"/>
    </row>
    <row r="58" spans="2:9" ht="50.3" customHeight="1" x14ac:dyDescent="0.25">
      <c r="B58" s="3173" t="s">
        <v>989</v>
      </c>
      <c r="C58" s="3173"/>
      <c r="D58" s="3173"/>
      <c r="E58" s="3173"/>
      <c r="F58" s="3173"/>
      <c r="G58" s="3173"/>
      <c r="H58" s="3173"/>
      <c r="I58" s="3173"/>
    </row>
    <row r="59" spans="2:9" ht="93.6" customHeight="1" x14ac:dyDescent="0.25">
      <c r="B59" s="3173" t="s">
        <v>990</v>
      </c>
      <c r="C59" s="3173"/>
      <c r="D59" s="3173"/>
      <c r="E59" s="3173"/>
      <c r="F59" s="3173"/>
      <c r="G59" s="3173"/>
      <c r="H59" s="3173"/>
      <c r="I59" s="3173"/>
    </row>
    <row r="60" spans="2:9" ht="77.45" customHeight="1" x14ac:dyDescent="0.25">
      <c r="B60" s="3173" t="s">
        <v>991</v>
      </c>
      <c r="C60" s="3173"/>
      <c r="D60" s="3173"/>
      <c r="E60" s="3173"/>
      <c r="F60" s="3173"/>
      <c r="G60" s="3173"/>
      <c r="H60" s="3173"/>
      <c r="I60" s="3173"/>
    </row>
    <row r="61" spans="2:9" ht="99.2" customHeight="1" x14ac:dyDescent="0.25">
      <c r="B61" s="3173" t="s">
        <v>992</v>
      </c>
      <c r="C61" s="3173"/>
      <c r="D61" s="3173"/>
      <c r="E61" s="3173"/>
      <c r="F61" s="3173"/>
      <c r="G61" s="3173"/>
      <c r="H61" s="3173"/>
      <c r="I61" s="3173"/>
    </row>
    <row r="62" spans="2:9" ht="123.65" customHeight="1" x14ac:dyDescent="0.25">
      <c r="B62" s="3173" t="s">
        <v>993</v>
      </c>
      <c r="C62" s="3173"/>
      <c r="D62" s="3173"/>
      <c r="E62" s="3173"/>
      <c r="F62" s="3173"/>
      <c r="G62" s="3173"/>
      <c r="H62" s="3173"/>
      <c r="I62" s="3173"/>
    </row>
    <row r="63" spans="2:9" ht="84.4" customHeight="1" x14ac:dyDescent="0.25">
      <c r="B63" s="3173" t="s">
        <v>994</v>
      </c>
      <c r="C63" s="3173"/>
      <c r="D63" s="3173"/>
      <c r="E63" s="3173"/>
      <c r="F63" s="3173"/>
      <c r="G63" s="3173"/>
      <c r="H63" s="3173"/>
      <c r="I63" s="3173"/>
    </row>
    <row r="64" spans="2:9" ht="8.35" customHeight="1" x14ac:dyDescent="0.2">
      <c r="B64"/>
      <c r="C64"/>
      <c r="D64"/>
      <c r="E64"/>
      <c r="F64"/>
      <c r="G64"/>
      <c r="H64"/>
      <c r="I64"/>
    </row>
    <row r="65" spans="1:9" x14ac:dyDescent="0.2">
      <c r="B65"/>
      <c r="C65"/>
      <c r="D65"/>
      <c r="E65"/>
      <c r="F65"/>
      <c r="G65"/>
      <c r="H65"/>
      <c r="I65"/>
    </row>
    <row r="66" spans="1:9" x14ac:dyDescent="0.2">
      <c r="B66"/>
      <c r="C66"/>
      <c r="D66"/>
      <c r="E66"/>
      <c r="F66"/>
      <c r="G66"/>
      <c r="H66"/>
      <c r="I66"/>
    </row>
    <row r="67" spans="1:9" x14ac:dyDescent="0.2">
      <c r="B67"/>
      <c r="C67"/>
      <c r="D67"/>
      <c r="E67"/>
      <c r="F67"/>
      <c r="G67"/>
      <c r="H67"/>
      <c r="I67"/>
    </row>
    <row r="68" spans="1:9" x14ac:dyDescent="0.2">
      <c r="B68"/>
      <c r="C68"/>
      <c r="D68"/>
      <c r="E68"/>
      <c r="F68"/>
      <c r="G68"/>
      <c r="H68"/>
      <c r="I68"/>
    </row>
    <row r="69" spans="1:9" x14ac:dyDescent="0.2">
      <c r="B69"/>
      <c r="C69"/>
      <c r="D69"/>
      <c r="E69"/>
      <c r="F69"/>
      <c r="G69"/>
      <c r="H69"/>
      <c r="I69"/>
    </row>
    <row r="70" spans="1:9" x14ac:dyDescent="0.2">
      <c r="B70"/>
      <c r="C70"/>
      <c r="D70"/>
      <c r="E70"/>
      <c r="F70"/>
      <c r="G70"/>
      <c r="H70"/>
      <c r="I70"/>
    </row>
    <row r="71" spans="1:9" ht="9" customHeight="1" x14ac:dyDescent="0.2">
      <c r="B71"/>
      <c r="C71"/>
      <c r="D71"/>
      <c r="E71"/>
      <c r="F71"/>
      <c r="G71"/>
      <c r="H71"/>
      <c r="I71"/>
    </row>
    <row r="72" spans="1:9" s="740" customFormat="1" ht="14.95" customHeight="1" x14ac:dyDescent="0.25">
      <c r="A72"/>
      <c r="B72"/>
      <c r="C72"/>
      <c r="D72"/>
      <c r="E72"/>
      <c r="F72"/>
      <c r="G72"/>
      <c r="H72"/>
      <c r="I72"/>
    </row>
    <row r="73" spans="1:9" x14ac:dyDescent="0.2">
      <c r="B73"/>
      <c r="C73"/>
      <c r="D73"/>
      <c r="E73"/>
      <c r="F73"/>
      <c r="G73"/>
      <c r="H73"/>
      <c r="I73"/>
    </row>
    <row r="74" spans="1:9" x14ac:dyDescent="0.2">
      <c r="B74"/>
      <c r="C74"/>
      <c r="D74"/>
      <c r="E74"/>
      <c r="F74"/>
      <c r="G74"/>
      <c r="H74"/>
      <c r="I74"/>
    </row>
    <row r="75" spans="1:9" ht="12.75" customHeight="1" x14ac:dyDescent="0.2">
      <c r="B75"/>
      <c r="C75"/>
      <c r="D75"/>
      <c r="E75"/>
      <c r="F75"/>
      <c r="G75"/>
      <c r="H75"/>
      <c r="I75"/>
    </row>
    <row r="76" spans="1:9" x14ac:dyDescent="0.2">
      <c r="B76"/>
      <c r="C76"/>
      <c r="D76"/>
      <c r="E76"/>
      <c r="F76"/>
      <c r="G76"/>
      <c r="H76"/>
      <c r="I76"/>
    </row>
    <row r="77" spans="1:9" ht="21.25" customHeight="1" x14ac:dyDescent="0.2">
      <c r="B77"/>
      <c r="C77"/>
      <c r="D77"/>
      <c r="E77"/>
      <c r="F77"/>
      <c r="G77"/>
      <c r="H77"/>
      <c r="I77"/>
    </row>
    <row r="78" spans="1:9" x14ac:dyDescent="0.2">
      <c r="B78"/>
      <c r="C78"/>
      <c r="D78"/>
      <c r="E78"/>
      <c r="F78"/>
      <c r="G78"/>
      <c r="H78"/>
      <c r="I78"/>
    </row>
    <row r="79" spans="1:9" x14ac:dyDescent="0.2">
      <c r="B79"/>
      <c r="C79"/>
      <c r="D79"/>
      <c r="E79"/>
      <c r="F79"/>
      <c r="G79"/>
      <c r="H79"/>
      <c r="I79"/>
    </row>
    <row r="80" spans="1:9" x14ac:dyDescent="0.2">
      <c r="B80"/>
      <c r="C80"/>
      <c r="D80"/>
      <c r="E80"/>
      <c r="F80"/>
      <c r="G80"/>
      <c r="H80"/>
      <c r="I80"/>
    </row>
    <row r="81" spans="2:9" x14ac:dyDescent="0.2">
      <c r="B81"/>
      <c r="C81"/>
      <c r="D81"/>
      <c r="E81"/>
      <c r="F81"/>
      <c r="G81"/>
      <c r="H81"/>
      <c r="I81"/>
    </row>
    <row r="82" spans="2:9" x14ac:dyDescent="0.2">
      <c r="B82"/>
      <c r="C82"/>
      <c r="D82"/>
      <c r="E82"/>
      <c r="F82"/>
      <c r="G82"/>
      <c r="H82"/>
      <c r="I82"/>
    </row>
    <row r="83" spans="2:9" ht="10.55" customHeight="1" x14ac:dyDescent="0.2">
      <c r="B83"/>
      <c r="C83"/>
      <c r="D83"/>
      <c r="E83"/>
      <c r="F83"/>
      <c r="G83"/>
      <c r="H83"/>
      <c r="I83"/>
    </row>
    <row r="84" spans="2:9" x14ac:dyDescent="0.2">
      <c r="B84"/>
      <c r="C84"/>
      <c r="D84"/>
      <c r="E84"/>
      <c r="F84"/>
      <c r="G84"/>
      <c r="H84"/>
      <c r="I84"/>
    </row>
    <row r="85" spans="2:9" ht="10.55" customHeight="1" x14ac:dyDescent="0.2">
      <c r="B85"/>
      <c r="C85"/>
      <c r="D85"/>
      <c r="E85"/>
      <c r="F85"/>
      <c r="G85"/>
      <c r="H85"/>
      <c r="I85"/>
    </row>
    <row r="86" spans="2:9" x14ac:dyDescent="0.2">
      <c r="B86"/>
      <c r="C86"/>
      <c r="D86"/>
      <c r="E86"/>
      <c r="F86"/>
      <c r="G86"/>
      <c r="H86"/>
      <c r="I86"/>
    </row>
    <row r="87" spans="2:9" x14ac:dyDescent="0.2">
      <c r="B87"/>
      <c r="C87"/>
      <c r="D87"/>
      <c r="E87"/>
      <c r="F87"/>
      <c r="G87"/>
      <c r="H87"/>
      <c r="I87"/>
    </row>
    <row r="88" spans="2:9" x14ac:dyDescent="0.2">
      <c r="B88"/>
      <c r="C88"/>
      <c r="D88"/>
      <c r="E88"/>
      <c r="F88"/>
      <c r="G88"/>
      <c r="H88"/>
      <c r="I88"/>
    </row>
    <row r="89" spans="2:9" x14ac:dyDescent="0.2">
      <c r="B89"/>
      <c r="C89"/>
      <c r="D89"/>
      <c r="E89"/>
      <c r="F89"/>
      <c r="G89"/>
      <c r="H89"/>
      <c r="I89"/>
    </row>
    <row r="90" spans="2:9" x14ac:dyDescent="0.2">
      <c r="B90"/>
      <c r="C90"/>
      <c r="D90"/>
      <c r="E90"/>
      <c r="F90"/>
      <c r="G90"/>
      <c r="H90"/>
      <c r="I90"/>
    </row>
    <row r="91" spans="2:9" x14ac:dyDescent="0.2">
      <c r="B91"/>
      <c r="C91"/>
      <c r="D91"/>
      <c r="E91"/>
      <c r="F91"/>
      <c r="G91"/>
      <c r="H91"/>
      <c r="I91"/>
    </row>
    <row r="92" spans="2:9" x14ac:dyDescent="0.2">
      <c r="B92"/>
      <c r="C92"/>
      <c r="D92"/>
      <c r="E92"/>
      <c r="F92"/>
      <c r="G92"/>
      <c r="H92"/>
      <c r="I92"/>
    </row>
    <row r="93" spans="2:9" x14ac:dyDescent="0.2">
      <c r="B93"/>
      <c r="C93"/>
      <c r="D93"/>
      <c r="E93"/>
      <c r="F93"/>
      <c r="G93"/>
      <c r="H93"/>
      <c r="I93"/>
    </row>
    <row r="94" spans="2:9" x14ac:dyDescent="0.2">
      <c r="B94"/>
      <c r="C94"/>
      <c r="D94"/>
      <c r="E94"/>
      <c r="F94"/>
      <c r="G94"/>
      <c r="H94"/>
      <c r="I94"/>
    </row>
    <row r="95" spans="2:9" x14ac:dyDescent="0.2">
      <c r="B95"/>
      <c r="C95"/>
      <c r="D95"/>
      <c r="E95"/>
      <c r="F95"/>
      <c r="G95"/>
      <c r="H95"/>
      <c r="I95"/>
    </row>
    <row r="96" spans="2:9" ht="16.5" customHeight="1" x14ac:dyDescent="0.2">
      <c r="B96"/>
      <c r="C96"/>
      <c r="D96"/>
      <c r="E96"/>
      <c r="F96"/>
      <c r="G96"/>
      <c r="H96"/>
      <c r="I96"/>
    </row>
    <row r="97" spans="2:9" x14ac:dyDescent="0.2">
      <c r="B97"/>
      <c r="C97"/>
      <c r="D97"/>
      <c r="E97"/>
      <c r="F97"/>
      <c r="G97"/>
      <c r="H97"/>
      <c r="I97"/>
    </row>
    <row r="98" spans="2:9" x14ac:dyDescent="0.2">
      <c r="B98"/>
      <c r="C98"/>
      <c r="D98"/>
      <c r="E98"/>
      <c r="F98"/>
      <c r="G98"/>
      <c r="H98"/>
      <c r="I98"/>
    </row>
    <row r="99" spans="2:9" ht="22.6" customHeight="1" x14ac:dyDescent="0.2">
      <c r="B99"/>
      <c r="C99"/>
      <c r="D99"/>
      <c r="E99"/>
      <c r="F99"/>
      <c r="G99"/>
      <c r="H99"/>
      <c r="I99"/>
    </row>
    <row r="100" spans="2:9" ht="22.6" customHeight="1" x14ac:dyDescent="0.2">
      <c r="B100"/>
      <c r="C100"/>
      <c r="D100"/>
      <c r="E100"/>
      <c r="F100"/>
      <c r="G100"/>
      <c r="H100"/>
      <c r="I100"/>
    </row>
    <row r="101" spans="2:9" ht="13.6" customHeight="1" x14ac:dyDescent="0.2">
      <c r="B101"/>
      <c r="C101"/>
      <c r="D101"/>
      <c r="E101"/>
      <c r="F101"/>
      <c r="G101"/>
      <c r="H101"/>
      <c r="I101"/>
    </row>
    <row r="102" spans="2:9" ht="13.6" customHeight="1" x14ac:dyDescent="0.2">
      <c r="B102"/>
      <c r="C102"/>
      <c r="D102"/>
      <c r="E102"/>
      <c r="F102"/>
      <c r="G102"/>
      <c r="H102"/>
      <c r="I102"/>
    </row>
    <row r="103" spans="2:9" x14ac:dyDescent="0.2">
      <c r="B103"/>
      <c r="C103"/>
      <c r="D103"/>
      <c r="E103"/>
      <c r="F103"/>
      <c r="G103"/>
      <c r="H103"/>
      <c r="I103"/>
    </row>
    <row r="104" spans="2:9" x14ac:dyDescent="0.2">
      <c r="B104"/>
      <c r="C104"/>
      <c r="D104"/>
      <c r="E104"/>
      <c r="F104"/>
      <c r="G104"/>
      <c r="H104"/>
      <c r="I104"/>
    </row>
    <row r="105" spans="2:9" x14ac:dyDescent="0.2">
      <c r="B105"/>
      <c r="C105"/>
      <c r="D105"/>
      <c r="E105"/>
      <c r="F105"/>
      <c r="G105"/>
      <c r="H105"/>
      <c r="I105"/>
    </row>
    <row r="106" spans="2:9" x14ac:dyDescent="0.2">
      <c r="B106"/>
      <c r="C106"/>
      <c r="D106"/>
      <c r="E106"/>
      <c r="F106"/>
      <c r="G106"/>
      <c r="H106"/>
      <c r="I106"/>
    </row>
    <row r="107" spans="2:9" x14ac:dyDescent="0.2">
      <c r="B107"/>
      <c r="C107"/>
      <c r="D107"/>
      <c r="E107"/>
      <c r="F107"/>
      <c r="G107"/>
      <c r="H107"/>
      <c r="I107"/>
    </row>
    <row r="108" spans="2:9" x14ac:dyDescent="0.2">
      <c r="B108"/>
      <c r="C108"/>
      <c r="D108"/>
      <c r="E108"/>
      <c r="F108"/>
      <c r="G108"/>
      <c r="H108"/>
      <c r="I108"/>
    </row>
    <row r="109" spans="2:9" x14ac:dyDescent="0.2">
      <c r="B109"/>
      <c r="C109"/>
      <c r="D109"/>
      <c r="E109"/>
      <c r="F109"/>
      <c r="G109"/>
      <c r="H109"/>
      <c r="I109"/>
    </row>
    <row r="110" spans="2:9" x14ac:dyDescent="0.2">
      <c r="B110"/>
      <c r="C110"/>
      <c r="D110"/>
      <c r="E110"/>
      <c r="F110"/>
      <c r="G110"/>
      <c r="H110"/>
      <c r="I110"/>
    </row>
    <row r="111" spans="2:9" x14ac:dyDescent="0.2">
      <c r="B111"/>
      <c r="C111"/>
      <c r="D111"/>
      <c r="E111"/>
      <c r="F111"/>
      <c r="G111"/>
      <c r="H111"/>
      <c r="I111"/>
    </row>
    <row r="112" spans="2:9" x14ac:dyDescent="0.2">
      <c r="B112"/>
      <c r="C112"/>
      <c r="D112"/>
      <c r="E112"/>
      <c r="F112"/>
      <c r="G112"/>
      <c r="H112"/>
      <c r="I112"/>
    </row>
    <row r="113" spans="2:9" x14ac:dyDescent="0.2">
      <c r="B113"/>
      <c r="C113"/>
      <c r="D113"/>
      <c r="E113"/>
      <c r="F113"/>
      <c r="G113"/>
      <c r="H113"/>
      <c r="I113"/>
    </row>
    <row r="114" spans="2:9" x14ac:dyDescent="0.2">
      <c r="B114"/>
      <c r="C114"/>
      <c r="D114"/>
      <c r="E114"/>
      <c r="F114"/>
      <c r="G114"/>
      <c r="H114"/>
      <c r="I114"/>
    </row>
    <row r="115" spans="2:9" x14ac:dyDescent="0.2">
      <c r="B115"/>
      <c r="C115"/>
      <c r="D115"/>
      <c r="E115"/>
      <c r="F115"/>
      <c r="G115"/>
      <c r="H115"/>
      <c r="I115"/>
    </row>
    <row r="116" spans="2:9" x14ac:dyDescent="0.2">
      <c r="B116"/>
      <c r="C116"/>
      <c r="D116"/>
      <c r="E116"/>
      <c r="F116"/>
      <c r="G116"/>
      <c r="H116"/>
      <c r="I116"/>
    </row>
    <row r="117" spans="2:9" x14ac:dyDescent="0.2">
      <c r="B117"/>
      <c r="C117"/>
      <c r="D117"/>
      <c r="E117"/>
      <c r="F117"/>
      <c r="G117"/>
      <c r="H117"/>
      <c r="I117"/>
    </row>
    <row r="118" spans="2:9" x14ac:dyDescent="0.2">
      <c r="B118"/>
      <c r="C118"/>
      <c r="D118"/>
      <c r="E118"/>
      <c r="F118"/>
      <c r="G118"/>
      <c r="H118"/>
      <c r="I118"/>
    </row>
    <row r="119" spans="2:9" x14ac:dyDescent="0.2">
      <c r="B119"/>
      <c r="C119"/>
      <c r="D119"/>
      <c r="E119"/>
      <c r="F119"/>
      <c r="G119"/>
      <c r="H119"/>
      <c r="I119"/>
    </row>
    <row r="120" spans="2:9" ht="11.25" customHeight="1" x14ac:dyDescent="0.2">
      <c r="B120"/>
      <c r="C120"/>
      <c r="D120"/>
      <c r="E120"/>
      <c r="F120"/>
      <c r="G120"/>
      <c r="H120"/>
      <c r="I120"/>
    </row>
    <row r="121" spans="2:9" ht="11.25" customHeight="1" x14ac:dyDescent="0.2">
      <c r="B121"/>
      <c r="C121"/>
      <c r="D121"/>
      <c r="E121"/>
      <c r="F121"/>
      <c r="G121"/>
      <c r="H121"/>
      <c r="I121"/>
    </row>
    <row r="122" spans="2:9" x14ac:dyDescent="0.2">
      <c r="B122"/>
      <c r="C122"/>
      <c r="D122"/>
      <c r="E122"/>
      <c r="F122"/>
      <c r="G122"/>
      <c r="H122"/>
      <c r="I122"/>
    </row>
    <row r="123" spans="2:9" x14ac:dyDescent="0.2">
      <c r="B123"/>
      <c r="C123"/>
      <c r="D123"/>
      <c r="E123"/>
      <c r="F123"/>
      <c r="G123"/>
      <c r="H123"/>
      <c r="I123"/>
    </row>
    <row r="124" spans="2:9" x14ac:dyDescent="0.2">
      <c r="B124"/>
      <c r="C124"/>
      <c r="D124"/>
      <c r="E124"/>
      <c r="F124"/>
      <c r="G124"/>
      <c r="H124"/>
      <c r="I124"/>
    </row>
    <row r="125" spans="2:9" x14ac:dyDescent="0.2">
      <c r="B125"/>
      <c r="C125"/>
      <c r="D125"/>
      <c r="E125"/>
      <c r="F125"/>
      <c r="G125"/>
      <c r="H125"/>
      <c r="I125"/>
    </row>
    <row r="126" spans="2:9" x14ac:dyDescent="0.2">
      <c r="B126"/>
      <c r="C126"/>
      <c r="D126"/>
      <c r="E126"/>
      <c r="F126"/>
      <c r="G126"/>
      <c r="H126"/>
      <c r="I126"/>
    </row>
    <row r="127" spans="2:9" x14ac:dyDescent="0.2">
      <c r="B127"/>
      <c r="C127"/>
      <c r="D127"/>
      <c r="E127"/>
      <c r="F127"/>
      <c r="G127"/>
      <c r="H127"/>
      <c r="I127"/>
    </row>
    <row r="128" spans="2:9" ht="19.55" customHeight="1" x14ac:dyDescent="0.2">
      <c r="B128"/>
      <c r="C128"/>
      <c r="D128"/>
      <c r="E128"/>
      <c r="F128"/>
      <c r="G128"/>
      <c r="H128"/>
      <c r="I128"/>
    </row>
    <row r="129" spans="2:9" ht="13.6" customHeight="1" x14ac:dyDescent="0.2">
      <c r="B129"/>
      <c r="C129"/>
      <c r="D129"/>
      <c r="E129"/>
      <c r="F129"/>
      <c r="G129"/>
      <c r="H129"/>
      <c r="I129"/>
    </row>
    <row r="130" spans="2:9" x14ac:dyDescent="0.2">
      <c r="B130"/>
      <c r="C130"/>
      <c r="D130"/>
      <c r="E130"/>
      <c r="F130"/>
      <c r="G130"/>
      <c r="H130"/>
      <c r="I130"/>
    </row>
    <row r="131" spans="2:9" x14ac:dyDescent="0.2">
      <c r="B131"/>
      <c r="C131"/>
      <c r="D131"/>
      <c r="E131"/>
      <c r="F131"/>
      <c r="G131"/>
      <c r="H131"/>
      <c r="I131"/>
    </row>
    <row r="132" spans="2:9" ht="20.25" customHeight="1" x14ac:dyDescent="0.2">
      <c r="B132"/>
      <c r="C132"/>
      <c r="D132"/>
      <c r="E132"/>
      <c r="F132"/>
      <c r="G132"/>
      <c r="H132"/>
      <c r="I132"/>
    </row>
    <row r="133" spans="2:9" ht="13.6" customHeight="1" x14ac:dyDescent="0.2">
      <c r="B133"/>
      <c r="C133"/>
      <c r="D133"/>
      <c r="E133"/>
      <c r="F133"/>
      <c r="G133"/>
      <c r="H133"/>
      <c r="I133"/>
    </row>
    <row r="134" spans="2:9" ht="13.6" customHeight="1" x14ac:dyDescent="0.2">
      <c r="B134"/>
      <c r="C134"/>
      <c r="D134"/>
      <c r="E134"/>
      <c r="F134"/>
      <c r="G134"/>
      <c r="H134"/>
      <c r="I134"/>
    </row>
    <row r="135" spans="2:9" ht="13.6" customHeight="1" x14ac:dyDescent="0.2">
      <c r="B135"/>
      <c r="C135"/>
      <c r="D135"/>
      <c r="E135"/>
      <c r="F135"/>
      <c r="G135"/>
      <c r="H135"/>
      <c r="I135"/>
    </row>
    <row r="136" spans="2:9" ht="13.6" customHeight="1" x14ac:dyDescent="0.2">
      <c r="B136"/>
      <c r="C136"/>
      <c r="D136"/>
      <c r="E136"/>
      <c r="F136"/>
      <c r="G136"/>
      <c r="H136"/>
      <c r="I136"/>
    </row>
    <row r="137" spans="2:9" ht="13.6" customHeight="1" x14ac:dyDescent="0.2">
      <c r="B137"/>
      <c r="C137"/>
      <c r="D137"/>
      <c r="E137"/>
      <c r="F137"/>
      <c r="G137"/>
      <c r="H137"/>
      <c r="I137"/>
    </row>
    <row r="138" spans="2:9" ht="13.6" customHeight="1" x14ac:dyDescent="0.2">
      <c r="B138"/>
      <c r="C138"/>
      <c r="D138"/>
      <c r="E138"/>
      <c r="F138"/>
      <c r="G138"/>
      <c r="H138"/>
      <c r="I138"/>
    </row>
    <row r="139" spans="2:9" ht="31.25" customHeight="1" x14ac:dyDescent="0.2">
      <c r="B139"/>
      <c r="C139"/>
      <c r="D139"/>
      <c r="E139"/>
      <c r="F139"/>
      <c r="G139"/>
      <c r="H139"/>
      <c r="I139"/>
    </row>
    <row r="140" spans="2:9" ht="13.6" customHeight="1" x14ac:dyDescent="0.2">
      <c r="B140"/>
      <c r="C140"/>
      <c r="D140"/>
      <c r="E140"/>
      <c r="F140"/>
      <c r="G140"/>
      <c r="H140"/>
      <c r="I140"/>
    </row>
    <row r="141" spans="2:9" ht="13.6" customHeight="1" x14ac:dyDescent="0.2">
      <c r="B141"/>
      <c r="C141"/>
      <c r="D141"/>
      <c r="E141"/>
      <c r="F141"/>
      <c r="G141"/>
      <c r="H141"/>
    </row>
    <row r="142" spans="2:9" ht="13.6" customHeight="1" x14ac:dyDescent="0.2">
      <c r="B142"/>
      <c r="C142"/>
      <c r="D142"/>
      <c r="E142"/>
      <c r="F142"/>
      <c r="G142"/>
      <c r="H142"/>
      <c r="I142"/>
    </row>
    <row r="143" spans="2:9" ht="13.6" customHeight="1" x14ac:dyDescent="0.2">
      <c r="B143"/>
      <c r="C143"/>
      <c r="D143"/>
      <c r="E143"/>
      <c r="F143"/>
      <c r="G143"/>
      <c r="H143"/>
      <c r="I143"/>
    </row>
    <row r="144" spans="2:9" ht="12.25" customHeight="1" x14ac:dyDescent="0.2">
      <c r="B144"/>
      <c r="C144"/>
      <c r="D144"/>
      <c r="E144"/>
      <c r="F144"/>
      <c r="G144"/>
      <c r="H144"/>
      <c r="I144"/>
    </row>
    <row r="145" spans="2:9" x14ac:dyDescent="0.2">
      <c r="B145"/>
      <c r="C145"/>
      <c r="D145"/>
      <c r="E145"/>
      <c r="F145"/>
      <c r="G145"/>
      <c r="H145"/>
      <c r="I145"/>
    </row>
    <row r="146" spans="2:9" x14ac:dyDescent="0.2">
      <c r="B146"/>
      <c r="C146"/>
      <c r="D146"/>
      <c r="E146"/>
      <c r="F146"/>
      <c r="G146"/>
      <c r="H146"/>
      <c r="I146"/>
    </row>
    <row r="147" spans="2:9" ht="22.6" customHeight="1" x14ac:dyDescent="0.2">
      <c r="B147"/>
      <c r="C147"/>
      <c r="D147"/>
      <c r="E147"/>
      <c r="F147"/>
      <c r="G147"/>
      <c r="H147"/>
      <c r="I147"/>
    </row>
    <row r="148" spans="2:9" ht="13.6" customHeight="1" x14ac:dyDescent="0.2">
      <c r="B148"/>
      <c r="C148"/>
      <c r="D148"/>
      <c r="E148"/>
      <c r="F148"/>
      <c r="G148"/>
      <c r="H148"/>
      <c r="I148"/>
    </row>
    <row r="149" spans="2:9" x14ac:dyDescent="0.2">
      <c r="B149"/>
      <c r="C149"/>
      <c r="D149"/>
      <c r="E149"/>
      <c r="F149"/>
      <c r="G149"/>
      <c r="H149"/>
      <c r="I149"/>
    </row>
    <row r="150" spans="2:9" ht="12.25" customHeight="1" x14ac:dyDescent="0.2">
      <c r="B150"/>
      <c r="C150"/>
      <c r="D150"/>
      <c r="E150"/>
      <c r="F150"/>
      <c r="G150"/>
      <c r="H150"/>
      <c r="I150"/>
    </row>
    <row r="151" spans="2:9" x14ac:dyDescent="0.2">
      <c r="B151"/>
      <c r="C151"/>
      <c r="D151"/>
      <c r="E151"/>
      <c r="F151"/>
      <c r="G151"/>
      <c r="H151"/>
      <c r="I151"/>
    </row>
    <row r="152" spans="2:9" x14ac:dyDescent="0.2">
      <c r="B152"/>
      <c r="C152"/>
      <c r="D152"/>
      <c r="E152"/>
      <c r="F152"/>
      <c r="G152"/>
      <c r="H152"/>
      <c r="I152"/>
    </row>
    <row r="153" spans="2:9" x14ac:dyDescent="0.2">
      <c r="B153"/>
      <c r="C153"/>
      <c r="D153"/>
      <c r="E153"/>
      <c r="F153"/>
      <c r="G153"/>
      <c r="H153"/>
      <c r="I153"/>
    </row>
    <row r="154" spans="2:9" x14ac:dyDescent="0.2">
      <c r="B154"/>
      <c r="C154"/>
      <c r="D154"/>
      <c r="E154"/>
      <c r="F154"/>
      <c r="G154"/>
      <c r="H154"/>
      <c r="I154"/>
    </row>
    <row r="155" spans="2:9" x14ac:dyDescent="0.2">
      <c r="B155"/>
      <c r="C155"/>
      <c r="D155"/>
      <c r="E155"/>
      <c r="F155"/>
      <c r="G155"/>
      <c r="H155"/>
      <c r="I155"/>
    </row>
    <row r="156" spans="2:9" x14ac:dyDescent="0.2">
      <c r="B156"/>
      <c r="C156"/>
      <c r="D156"/>
      <c r="E156"/>
      <c r="F156"/>
      <c r="G156"/>
      <c r="H156"/>
      <c r="I156"/>
    </row>
    <row r="157" spans="2:9" x14ac:dyDescent="0.2">
      <c r="B157"/>
      <c r="C157"/>
      <c r="D157"/>
      <c r="E157"/>
      <c r="F157"/>
      <c r="G157"/>
      <c r="H157"/>
      <c r="I157"/>
    </row>
    <row r="158" spans="2:9" x14ac:dyDescent="0.2">
      <c r="B158"/>
      <c r="C158"/>
      <c r="D158"/>
      <c r="E158"/>
      <c r="F158"/>
      <c r="G158"/>
      <c r="H158"/>
      <c r="I158"/>
    </row>
    <row r="159" spans="2:9" x14ac:dyDescent="0.2">
      <c r="B159"/>
      <c r="C159"/>
      <c r="D159"/>
      <c r="E159"/>
      <c r="F159"/>
      <c r="G159"/>
      <c r="H159"/>
      <c r="I159"/>
    </row>
    <row r="160" spans="2:9" x14ac:dyDescent="0.2">
      <c r="B160"/>
      <c r="C160"/>
      <c r="D160"/>
      <c r="E160"/>
      <c r="F160"/>
      <c r="G160"/>
      <c r="H160"/>
      <c r="I160"/>
    </row>
    <row r="161" spans="2:10" x14ac:dyDescent="0.2">
      <c r="B161"/>
      <c r="C161"/>
      <c r="D161"/>
      <c r="E161"/>
      <c r="F161"/>
      <c r="G161"/>
      <c r="H161"/>
      <c r="I161"/>
    </row>
    <row r="162" spans="2:10" ht="13.6" customHeight="1" x14ac:dyDescent="0.2">
      <c r="B162"/>
      <c r="C162"/>
      <c r="D162"/>
      <c r="E162"/>
      <c r="F162"/>
      <c r="G162"/>
      <c r="H162"/>
      <c r="I162"/>
    </row>
    <row r="163" spans="2:10" x14ac:dyDescent="0.2">
      <c r="B163"/>
      <c r="C163"/>
      <c r="D163"/>
      <c r="E163"/>
      <c r="F163"/>
      <c r="G163"/>
      <c r="H163"/>
      <c r="I163"/>
    </row>
    <row r="164" spans="2:10" ht="14.3" customHeight="1" x14ac:dyDescent="0.2">
      <c r="B164"/>
      <c r="C164"/>
      <c r="D164"/>
      <c r="E164"/>
      <c r="F164"/>
      <c r="G164"/>
      <c r="H164"/>
      <c r="I164"/>
    </row>
    <row r="165" spans="2:10" ht="14.3" customHeight="1" x14ac:dyDescent="0.2">
      <c r="B165"/>
      <c r="C165"/>
      <c r="D165"/>
      <c r="E165"/>
      <c r="F165"/>
      <c r="G165"/>
      <c r="H165"/>
      <c r="I165"/>
    </row>
    <row r="166" spans="2:10" ht="14.3" customHeight="1" x14ac:dyDescent="0.2">
      <c r="B166"/>
      <c r="C166"/>
      <c r="D166"/>
      <c r="E166"/>
      <c r="F166"/>
      <c r="G166"/>
      <c r="H166"/>
      <c r="I166"/>
    </row>
    <row r="167" spans="2:10" ht="19.899999999999999" customHeight="1" x14ac:dyDescent="0.2">
      <c r="B167"/>
      <c r="C167"/>
      <c r="D167"/>
      <c r="E167"/>
      <c r="F167"/>
      <c r="G167"/>
      <c r="H167"/>
      <c r="I167"/>
    </row>
    <row r="168" spans="2:10" ht="13.95" customHeight="1" x14ac:dyDescent="0.2">
      <c r="B168"/>
      <c r="C168"/>
      <c r="D168"/>
      <c r="E168"/>
      <c r="F168"/>
      <c r="G168"/>
      <c r="H168"/>
      <c r="I168"/>
    </row>
    <row r="169" spans="2:10" ht="13.95" customHeight="1" x14ac:dyDescent="0.2">
      <c r="B169"/>
      <c r="C169"/>
      <c r="D169"/>
      <c r="E169"/>
      <c r="F169"/>
      <c r="G169"/>
      <c r="H169"/>
      <c r="I169"/>
    </row>
    <row r="170" spans="2:10" ht="13.95" customHeight="1" x14ac:dyDescent="0.2">
      <c r="B170"/>
      <c r="C170"/>
      <c r="D170"/>
      <c r="E170"/>
      <c r="F170"/>
      <c r="G170"/>
      <c r="H170"/>
      <c r="I170"/>
      <c r="J170" s="2215"/>
    </row>
    <row r="171" spans="2:10" ht="13.95" customHeight="1" x14ac:dyDescent="0.2">
      <c r="B171"/>
      <c r="C171"/>
      <c r="D171"/>
      <c r="E171"/>
      <c r="F171"/>
      <c r="G171"/>
      <c r="H171"/>
      <c r="I171"/>
      <c r="J171" s="2215"/>
    </row>
    <row r="172" spans="2:10" ht="17.7" customHeight="1" x14ac:dyDescent="0.2">
      <c r="B172"/>
      <c r="C172"/>
      <c r="D172"/>
      <c r="E172"/>
      <c r="F172"/>
      <c r="G172"/>
      <c r="H172"/>
      <c r="I172"/>
    </row>
    <row r="173" spans="2:10" ht="15.8" customHeight="1" x14ac:dyDescent="0.2">
      <c r="B173"/>
      <c r="C173"/>
      <c r="D173"/>
      <c r="E173"/>
      <c r="F173"/>
      <c r="G173"/>
      <c r="H173"/>
      <c r="I173"/>
    </row>
    <row r="174" spans="2:10" ht="14.3" customHeight="1" x14ac:dyDescent="0.2">
      <c r="B174"/>
      <c r="C174"/>
      <c r="D174"/>
      <c r="E174"/>
      <c r="F174"/>
      <c r="G174"/>
      <c r="H174"/>
      <c r="I174"/>
    </row>
    <row r="175" spans="2:10" ht="14.45" customHeight="1" x14ac:dyDescent="0.2">
      <c r="B175"/>
      <c r="C175"/>
      <c r="D175"/>
      <c r="E175"/>
      <c r="F175"/>
      <c r="G175"/>
      <c r="H175"/>
      <c r="I175"/>
    </row>
    <row r="176" spans="2:10" ht="14.95" customHeight="1" x14ac:dyDescent="0.2">
      <c r="B176"/>
      <c r="C176"/>
      <c r="D176"/>
      <c r="E176"/>
      <c r="F176"/>
      <c r="G176"/>
      <c r="H176"/>
      <c r="I176"/>
    </row>
    <row r="177" spans="1:9" x14ac:dyDescent="0.2">
      <c r="B177"/>
      <c r="C177"/>
      <c r="D177"/>
      <c r="E177"/>
      <c r="F177"/>
      <c r="G177"/>
      <c r="H177"/>
      <c r="I177"/>
    </row>
    <row r="178" spans="1:9" x14ac:dyDescent="0.2">
      <c r="B178"/>
      <c r="C178"/>
      <c r="D178"/>
      <c r="E178"/>
      <c r="F178"/>
      <c r="G178"/>
      <c r="H178"/>
      <c r="I178"/>
    </row>
    <row r="179" spans="1:9" x14ac:dyDescent="0.2">
      <c r="B179"/>
      <c r="C179"/>
      <c r="D179"/>
      <c r="E179"/>
      <c r="F179"/>
      <c r="G179"/>
      <c r="H179"/>
      <c r="I179"/>
    </row>
    <row r="180" spans="1:9" x14ac:dyDescent="0.2">
      <c r="B180"/>
      <c r="C180"/>
      <c r="D180"/>
      <c r="E180"/>
      <c r="F180"/>
      <c r="G180"/>
      <c r="H180"/>
      <c r="I180"/>
    </row>
    <row r="181" spans="1:9" x14ac:dyDescent="0.2">
      <c r="B181"/>
      <c r="C181"/>
      <c r="D181"/>
      <c r="E181"/>
      <c r="F181"/>
      <c r="G181"/>
      <c r="H181"/>
      <c r="I181"/>
    </row>
    <row r="182" spans="1:9" ht="18" customHeight="1" x14ac:dyDescent="0.2">
      <c r="B182"/>
      <c r="C182"/>
      <c r="D182"/>
      <c r="E182"/>
      <c r="F182"/>
      <c r="G182"/>
      <c r="H182"/>
      <c r="I182"/>
    </row>
    <row r="183" spans="1:9" x14ac:dyDescent="0.2">
      <c r="B183"/>
      <c r="C183"/>
      <c r="D183"/>
      <c r="E183"/>
      <c r="F183"/>
      <c r="G183"/>
      <c r="H183"/>
      <c r="I183"/>
    </row>
    <row r="184" spans="1:9" x14ac:dyDescent="0.2">
      <c r="B184"/>
      <c r="C184"/>
      <c r="D184"/>
      <c r="E184"/>
      <c r="F184"/>
      <c r="G184"/>
      <c r="H184"/>
      <c r="I184"/>
    </row>
    <row r="185" spans="1:9" s="193" customFormat="1" ht="13.6" x14ac:dyDescent="0.2">
      <c r="A185"/>
      <c r="B185"/>
      <c r="C185"/>
      <c r="D185"/>
      <c r="E185"/>
      <c r="F185"/>
      <c r="G185"/>
      <c r="H185"/>
      <c r="I185"/>
    </row>
    <row r="186" spans="1:9" x14ac:dyDescent="0.2">
      <c r="B186"/>
      <c r="C186"/>
      <c r="D186"/>
      <c r="E186"/>
      <c r="F186"/>
      <c r="G186"/>
      <c r="H186"/>
      <c r="I186"/>
    </row>
    <row r="187" spans="1:9" x14ac:dyDescent="0.2">
      <c r="B187"/>
      <c r="C187"/>
      <c r="D187"/>
      <c r="E187"/>
      <c r="F187"/>
      <c r="G187"/>
      <c r="H187"/>
      <c r="I187"/>
    </row>
    <row r="188" spans="1:9" x14ac:dyDescent="0.2">
      <c r="B188"/>
      <c r="C188"/>
      <c r="D188"/>
      <c r="E188"/>
      <c r="F188"/>
      <c r="G188"/>
      <c r="H188"/>
      <c r="I188"/>
    </row>
    <row r="189" spans="1:9" ht="14.45" customHeight="1" x14ac:dyDescent="0.2">
      <c r="B189"/>
      <c r="C189"/>
      <c r="D189"/>
      <c r="E189"/>
      <c r="F189"/>
      <c r="G189"/>
      <c r="H189"/>
      <c r="I189"/>
    </row>
    <row r="190" spans="1:9" ht="11.25" customHeight="1" x14ac:dyDescent="0.2">
      <c r="B190"/>
      <c r="C190"/>
      <c r="D190"/>
      <c r="E190"/>
      <c r="F190"/>
      <c r="G190"/>
      <c r="H190"/>
      <c r="I190"/>
    </row>
    <row r="191" spans="1:9" x14ac:dyDescent="0.2">
      <c r="B191"/>
      <c r="C191"/>
      <c r="D191"/>
      <c r="E191"/>
      <c r="F191"/>
      <c r="G191"/>
      <c r="H191"/>
      <c r="I191"/>
    </row>
    <row r="192" spans="1:9" ht="14.45" customHeight="1" x14ac:dyDescent="0.2">
      <c r="B192"/>
      <c r="C192"/>
      <c r="D192"/>
      <c r="E192"/>
      <c r="F192"/>
      <c r="G192"/>
      <c r="H192"/>
      <c r="I192"/>
    </row>
    <row r="193" spans="2:9" ht="16.149999999999999" customHeight="1" x14ac:dyDescent="0.2">
      <c r="B193"/>
      <c r="C193"/>
      <c r="D193"/>
      <c r="E193"/>
      <c r="F193"/>
      <c r="G193"/>
      <c r="H193"/>
      <c r="I193"/>
    </row>
    <row r="194" spans="2:9" x14ac:dyDescent="0.2">
      <c r="B194"/>
      <c r="C194"/>
      <c r="D194"/>
      <c r="E194"/>
      <c r="F194"/>
      <c r="G194"/>
      <c r="H194"/>
      <c r="I194"/>
    </row>
    <row r="195" spans="2:9" x14ac:dyDescent="0.2">
      <c r="B195"/>
      <c r="C195"/>
      <c r="D195"/>
      <c r="E195"/>
      <c r="F195"/>
      <c r="G195"/>
      <c r="H195"/>
      <c r="I195"/>
    </row>
    <row r="196" spans="2:9" x14ac:dyDescent="0.2">
      <c r="B196"/>
      <c r="C196"/>
      <c r="D196"/>
      <c r="E196"/>
      <c r="F196"/>
      <c r="G196"/>
      <c r="H196"/>
      <c r="I196"/>
    </row>
    <row r="197" spans="2:9" x14ac:dyDescent="0.2">
      <c r="B197"/>
      <c r="C197"/>
      <c r="D197"/>
      <c r="E197"/>
      <c r="F197"/>
      <c r="G197"/>
      <c r="H197"/>
      <c r="I197"/>
    </row>
    <row r="198" spans="2:9" x14ac:dyDescent="0.2">
      <c r="B198"/>
      <c r="C198"/>
      <c r="D198"/>
      <c r="E198"/>
      <c r="F198"/>
      <c r="G198"/>
      <c r="H198"/>
      <c r="I198"/>
    </row>
    <row r="199" spans="2:9" x14ac:dyDescent="0.2">
      <c r="B199"/>
      <c r="C199"/>
      <c r="D199"/>
      <c r="E199"/>
      <c r="F199"/>
      <c r="G199"/>
      <c r="H199"/>
      <c r="I199"/>
    </row>
    <row r="200" spans="2:9" x14ac:dyDescent="0.2">
      <c r="B200"/>
      <c r="C200"/>
      <c r="D200"/>
      <c r="E200"/>
      <c r="F200"/>
      <c r="G200"/>
      <c r="H200"/>
      <c r="I200"/>
    </row>
    <row r="201" spans="2:9" x14ac:dyDescent="0.2">
      <c r="B201"/>
      <c r="C201"/>
      <c r="D201"/>
      <c r="E201"/>
      <c r="F201"/>
      <c r="G201"/>
      <c r="H201"/>
      <c r="I201"/>
    </row>
    <row r="202" spans="2:9" x14ac:dyDescent="0.2">
      <c r="B202"/>
      <c r="C202"/>
      <c r="D202"/>
      <c r="E202"/>
      <c r="F202"/>
      <c r="G202"/>
      <c r="H202"/>
      <c r="I202"/>
    </row>
    <row r="203" spans="2:9" x14ac:dyDescent="0.2">
      <c r="B203"/>
      <c r="C203"/>
      <c r="D203"/>
      <c r="E203"/>
      <c r="F203"/>
      <c r="G203"/>
      <c r="H203"/>
      <c r="I203"/>
    </row>
    <row r="204" spans="2:9" x14ac:dyDescent="0.2">
      <c r="B204"/>
      <c r="C204"/>
      <c r="D204"/>
      <c r="E204"/>
      <c r="F204"/>
      <c r="G204"/>
      <c r="H204"/>
      <c r="I204"/>
    </row>
    <row r="205" spans="2:9" x14ac:dyDescent="0.2">
      <c r="B205"/>
      <c r="C205"/>
      <c r="D205"/>
      <c r="E205"/>
      <c r="F205"/>
      <c r="G205"/>
      <c r="H205"/>
      <c r="I205"/>
    </row>
    <row r="206" spans="2:9" x14ac:dyDescent="0.2">
      <c r="B206"/>
      <c r="C206"/>
      <c r="D206"/>
      <c r="E206"/>
      <c r="F206"/>
      <c r="G206"/>
      <c r="H206"/>
      <c r="I206"/>
    </row>
    <row r="211" spans="1:9" ht="13.95" customHeight="1" x14ac:dyDescent="0.2"/>
    <row r="212" spans="1:9" s="1907" customFormat="1" ht="16.3" x14ac:dyDescent="0.25">
      <c r="A212"/>
      <c r="B212" s="1950"/>
      <c r="C212" s="1950"/>
      <c r="D212" s="1950"/>
      <c r="E212" s="1950"/>
      <c r="F212" s="1950"/>
      <c r="G212" s="1950"/>
      <c r="H212" s="1950"/>
      <c r="I212" s="2287"/>
    </row>
    <row r="214" spans="1:9" s="764" customFormat="1" ht="15.65" x14ac:dyDescent="0.25">
      <c r="A214"/>
      <c r="B214" s="1950"/>
      <c r="C214" s="1950"/>
      <c r="D214" s="1950"/>
      <c r="E214" s="1950"/>
      <c r="F214" s="1950"/>
      <c r="G214" s="1950"/>
      <c r="H214" s="1950"/>
      <c r="I214" s="2288"/>
    </row>
    <row r="215" spans="1:9" ht="15.65" x14ac:dyDescent="0.25">
      <c r="A215" s="764"/>
      <c r="B215" s="2288"/>
      <c r="C215" s="2288"/>
      <c r="D215" s="2288"/>
      <c r="E215" s="2288"/>
      <c r="F215" s="2288"/>
      <c r="G215" s="2288"/>
      <c r="H215" s="2288"/>
    </row>
    <row r="225" spans="2:9" s="764" customFormat="1" ht="15.65" x14ac:dyDescent="0.25">
      <c r="B225" s="1950"/>
      <c r="C225" s="1950"/>
      <c r="D225" s="1950"/>
      <c r="E225" s="1950"/>
      <c r="F225" s="1950"/>
      <c r="G225" s="1950"/>
      <c r="H225" s="1950"/>
      <c r="I225" s="2288"/>
    </row>
    <row r="226" spans="2:9" ht="19.2" customHeight="1" x14ac:dyDescent="0.2"/>
    <row r="230" spans="2:9" ht="16.149999999999999" customHeight="1" x14ac:dyDescent="0.2"/>
    <row r="233" spans="2:9" ht="17" customHeight="1" x14ac:dyDescent="0.2"/>
    <row r="234" spans="2:9" ht="12.6" customHeight="1" x14ac:dyDescent="0.2"/>
    <row r="235" spans="2:9" ht="12.6" customHeight="1" x14ac:dyDescent="0.2"/>
    <row r="236" spans="2:9" ht="17" customHeight="1" x14ac:dyDescent="0.2"/>
    <row r="237" spans="2:9" ht="12.6" customHeight="1" x14ac:dyDescent="0.2"/>
    <row r="238" spans="2:9" ht="9.6999999999999993" customHeight="1" x14ac:dyDescent="0.2"/>
  </sheetData>
  <sheetProtection sheet="1" objects="1" scenarios="1"/>
  <customSheetViews>
    <customSheetView guid="{32760361-675F-4FBF-A5CA-B0597C10371F}" scale="93" showGridLines="0" fitToPage="1">
      <selection activeCell="L21" sqref="L21"/>
      <rowBreaks count="5" manualBreakCount="5">
        <brk id="31" min="1" max="8" man="1"/>
        <brk id="39" min="1" max="8" man="1"/>
        <brk id="52" min="1" max="8" man="1"/>
        <brk id="97" max="16383" man="1"/>
        <brk id="141" max="16383" man="1"/>
      </rowBreaks>
      <pageMargins left="0.70866141732283472" right="0.59055118110236227" top="0.63" bottom="0.66" header="0.51181102362204722" footer="0.31496062992125984"/>
      <printOptions horizontalCentered="1"/>
      <pageSetup paperSize="9" scale="95" fitToHeight="0" orientation="portrait" useFirstPageNumber="1" r:id="rId1"/>
      <headerFooter alignWithMargins="0">
        <oddFooter>&amp;L&amp;9LEL Schwäbisch Gmünd &amp;C&amp;9&amp;P+0&amp;R&amp;F</oddFooter>
      </headerFooter>
    </customSheetView>
  </customSheetViews>
  <mergeCells count="30">
    <mergeCell ref="B50:I50"/>
    <mergeCell ref="B51:I51"/>
    <mergeCell ref="B56:I56"/>
    <mergeCell ref="B57:I57"/>
    <mergeCell ref="B63:I63"/>
    <mergeCell ref="B58:I58"/>
    <mergeCell ref="B59:I59"/>
    <mergeCell ref="B60:I60"/>
    <mergeCell ref="B61:I61"/>
    <mergeCell ref="B62:I62"/>
    <mergeCell ref="B45:I45"/>
    <mergeCell ref="B46:I46"/>
    <mergeCell ref="B47:I47"/>
    <mergeCell ref="B48:I48"/>
    <mergeCell ref="B49:I49"/>
    <mergeCell ref="B36:I36"/>
    <mergeCell ref="B37:I37"/>
    <mergeCell ref="B38:I38"/>
    <mergeCell ref="B43:I43"/>
    <mergeCell ref="B44:I44"/>
    <mergeCell ref="B29:I29"/>
    <mergeCell ref="B30:I30"/>
    <mergeCell ref="B33:I33"/>
    <mergeCell ref="B34:I34"/>
    <mergeCell ref="B35:I35"/>
    <mergeCell ref="C1:G1"/>
    <mergeCell ref="B4:I4"/>
    <mergeCell ref="B5:I5"/>
    <mergeCell ref="B26:I26"/>
    <mergeCell ref="B28:I28"/>
  </mergeCells>
  <phoneticPr fontId="0" type="noConversion"/>
  <hyperlinks>
    <hyperlink ref="C1:G1" location="Inhalt!A1:A10" display="zurück zum Inhaltsverzeichnis"/>
    <hyperlink ref="K7" location="Hinweise!A55" display="1.Programmaufbau und Datei"/>
    <hyperlink ref="K8" location="Hinweise!B32" display="2.Stammdaten"/>
    <hyperlink ref="K9" location="Hinweise!B40" display="3. Eingaben in der Berechnungsgrundlage"/>
    <hyperlink ref="K10" location="Hinweise!B53" display="4. Informationen und Interpretationen zur Kostenrechnung"/>
  </hyperlinks>
  <printOptions horizontalCentered="1"/>
  <pageMargins left="0.70866141732283472" right="0.59055118110236227" top="0.63" bottom="0.66" header="0.51181102362204722" footer="0.31496062992125984"/>
  <pageSetup paperSize="9" scale="95" fitToHeight="0" orientation="portrait" useFirstPageNumber="1" r:id="rId2"/>
  <headerFooter alignWithMargins="0">
    <oddFooter>&amp;L&amp;9LEL Schwäbisch Gmünd &amp;C&amp;9&amp;P+0&amp;R&amp;F</oddFooter>
  </headerFooter>
  <rowBreaks count="5" manualBreakCount="5">
    <brk id="31" min="1" max="8" man="1"/>
    <brk id="39" min="1" max="8" man="1"/>
    <brk id="52" min="1" max="8" man="1"/>
    <brk id="97" max="16383" man="1"/>
    <brk id="141" max="16383" man="1"/>
  </rowBreaks>
  <drawing r:id="rId3"/>
  <legacyDrawing r:id="rId4"/>
  <oleObjects>
    <mc:AlternateContent xmlns:mc="http://schemas.openxmlformats.org/markup-compatibility/2006">
      <mc:Choice Requires="x14">
        <oleObject progId="MS Organigramm" shapeId="2061" r:id="rId5">
          <objectPr defaultSize="0" autoPict="0" r:id="rId6">
            <anchor moveWithCells="1">
              <from>
                <xdr:col>1</xdr:col>
                <xdr:colOff>60385</xdr:colOff>
                <xdr:row>7</xdr:row>
                <xdr:rowOff>60385</xdr:rowOff>
              </from>
              <to>
                <xdr:col>9</xdr:col>
                <xdr:colOff>77638</xdr:colOff>
                <xdr:row>25</xdr:row>
                <xdr:rowOff>69011</xdr:rowOff>
              </to>
            </anchor>
          </objectPr>
        </oleObject>
      </mc:Choice>
      <mc:Fallback>
        <oleObject progId="MS Organigramm" shapeId="2061" r:id="rId5"/>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pageSetUpPr fitToPage="1"/>
  </sheetPr>
  <dimension ref="A1:AS82"/>
  <sheetViews>
    <sheetView showGridLines="0" showZeros="0" workbookViewId="0">
      <pane xSplit="12" ySplit="5" topLeftCell="M42" activePane="bottomRight" state="frozen"/>
      <selection pane="topRight"/>
      <selection pane="bottomLeft"/>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1090</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1196</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Silage</v>
      </c>
      <c r="N5" s="2699" t="str">
        <f>VLOOKUP(W$5,$S$4:$T$13,2)</f>
        <v>Silage</v>
      </c>
      <c r="O5" s="2699" t="str">
        <f>VLOOKUP(X$5,$S$4:$T$13,2)</f>
        <v>Silage</v>
      </c>
      <c r="P5" s="2699" t="str">
        <f>VLOOKUP(Y$5,$S$4:$T$13,2)</f>
        <v>Silage</v>
      </c>
      <c r="Q5" s="2700">
        <f>VLOOKUP(Z$5,$S$4:$T$13,2)</f>
        <v>0</v>
      </c>
      <c r="R5" s="470"/>
      <c r="S5" s="2642">
        <v>2</v>
      </c>
      <c r="T5" s="2672" t="str">
        <f>Energ.!G$57</f>
        <v>Umtriebsweide</v>
      </c>
      <c r="U5" s="2643"/>
      <c r="V5" s="2639">
        <v>5</v>
      </c>
      <c r="W5" s="2118">
        <v>5</v>
      </c>
      <c r="X5" s="2118">
        <v>5</v>
      </c>
      <c r="Y5" s="2118">
        <v>5</v>
      </c>
      <c r="Z5" s="2119">
        <v>10</v>
      </c>
      <c r="AE5" s="434"/>
      <c r="AF5" s="434"/>
      <c r="AG5" s="434"/>
    </row>
    <row r="6" spans="1:45" s="433" customFormat="1" ht="18.7"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5</v>
      </c>
      <c r="L8" s="1224"/>
      <c r="M8" s="2646">
        <f>HLOOKUP(V$5,Energ.!$F$58:$N$66,Energ.!$A59)*100</f>
        <v>5</v>
      </c>
      <c r="N8" s="2647">
        <f>HLOOKUP(W$5,Energ.!$F$58:$N$66,Energ.!$A59)*100</f>
        <v>5</v>
      </c>
      <c r="O8" s="2647">
        <f>HLOOKUP(X$5,Energ.!$F$58:$N$66,Energ.!$A59)*100</f>
        <v>5</v>
      </c>
      <c r="P8" s="2647">
        <f>HLOOKUP(Y$5,Energ.!$F$58:$N$66,Energ.!$A59)*100</f>
        <v>5</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7.0000000000000018</v>
      </c>
      <c r="L9" s="1226"/>
      <c r="M9" s="2649">
        <f>HLOOKUP(V$5,Energ.!$F$58:$N$66,Energ.!$A60)*100</f>
        <v>7.0000000000000009</v>
      </c>
      <c r="N9" s="2650">
        <f>HLOOKUP(W$5,Energ.!$F$58:$N$66,Energ.!$A60)*100</f>
        <v>7.0000000000000009</v>
      </c>
      <c r="O9" s="2650">
        <f>HLOOKUP(X$5,Energ.!$F$58:$N$66,Energ.!$A60)*100</f>
        <v>7.0000000000000009</v>
      </c>
      <c r="P9" s="2650">
        <f>HLOOKUP(Y$5,Energ.!$F$58:$N$66,Energ.!$A60)*100</f>
        <v>7.0000000000000009</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35</v>
      </c>
      <c r="L10" s="1224"/>
      <c r="M10" s="2652">
        <f>HLOOKUP(V$5,Energ.!$F$58:$N$66,Energ.!$A62)*100</f>
        <v>35</v>
      </c>
      <c r="N10" s="2653">
        <f>HLOOKUP(W$5,Energ.!$F$58:$N$66,Energ.!$A62)*100</f>
        <v>35</v>
      </c>
      <c r="O10" s="2658">
        <f>HLOOKUP(X$5,Energ.!$F$58:$N$66,Energ.!$A62)*100</f>
        <v>35</v>
      </c>
      <c r="P10" s="2653">
        <f>HLOOKUP(Y$5,Energ.!$F$58:$N$66,Energ.!$A62)*100</f>
        <v>35</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37</v>
      </c>
      <c r="L11" s="1228"/>
      <c r="M11" s="2649">
        <f>HLOOKUP(V$5,Energ.!$F$58:$N$66,Energ.!$A63)*100</f>
        <v>37</v>
      </c>
      <c r="N11" s="2650">
        <f>HLOOKUP(W$5,Energ.!$F$58:$N$66,Energ.!$A63)*100</f>
        <v>37</v>
      </c>
      <c r="O11" s="2650">
        <f>HLOOKUP(X$5,Energ.!$F$58:$N$66,Energ.!$A63)*100</f>
        <v>37</v>
      </c>
      <c r="P11" s="2650">
        <f>HLOOKUP(Y$5,Energ.!$F$58:$N$66,Energ.!$A63)*100</f>
        <v>37</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6.5999999999999988</v>
      </c>
      <c r="L12" s="1224"/>
      <c r="M12" s="2655">
        <f>HLOOKUP(V$5,Energ.!$F$58:$N$66,Energ.!$A64)</f>
        <v>6.6</v>
      </c>
      <c r="N12" s="2656">
        <f>HLOOKUP(W$5,Energ.!$F$58:$N$66,Energ.!$A64)</f>
        <v>6.6</v>
      </c>
      <c r="O12" s="2656">
        <f>HLOOKUP(X$5,Energ.!$F$58:$N$66,Energ.!$A64)</f>
        <v>6.6</v>
      </c>
      <c r="P12" s="2656">
        <f>HLOOKUP(Y$5,Energ.!$F$58:$N$66,Energ.!$A64)</f>
        <v>6.6</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2.4419999999999997</v>
      </c>
      <c r="L13" s="1231"/>
      <c r="M13" s="517">
        <f>M12*M11/100</f>
        <v>2.4419999999999997</v>
      </c>
      <c r="N13" s="518">
        <f>N12*N11/100</f>
        <v>2.4419999999999997</v>
      </c>
      <c r="O13" s="518">
        <f>O12*O11/100</f>
        <v>2.4419999999999997</v>
      </c>
      <c r="P13" s="518">
        <f>P12*P11/100</f>
        <v>2.4419999999999997</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76</v>
      </c>
      <c r="L14" s="1233"/>
      <c r="M14" s="865">
        <f>M6*(100-M8)/100</f>
        <v>26.6</v>
      </c>
      <c r="N14" s="866">
        <f>N6*(100-N8)/100</f>
        <v>19</v>
      </c>
      <c r="O14" s="866">
        <f>O6*(100-O8)/100</f>
        <v>15.2</v>
      </c>
      <c r="P14" s="866">
        <f>P6*(100-P8)/100</f>
        <v>15.2</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217.14285714285717</v>
      </c>
      <c r="L15" s="1233"/>
      <c r="M15" s="865">
        <f>IF(M10=0,0,M14/M10*100)</f>
        <v>76</v>
      </c>
      <c r="N15" s="866">
        <f>IF(N10=0,0,N14/N10*100)</f>
        <v>54.285714285714285</v>
      </c>
      <c r="O15" s="866">
        <f>IF(O10=0,0,O14/O10*100)</f>
        <v>43.428571428571431</v>
      </c>
      <c r="P15" s="866">
        <f>IF(P10=0,0,P14/P10*100)</f>
        <v>43.428571428571431</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32.900432900432904</v>
      </c>
      <c r="L16" s="3348"/>
      <c r="M16" s="1793">
        <f>IF(V5&lt;4,0,IF(M12=0,0,M15/M12))</f>
        <v>11.515151515151516</v>
      </c>
      <c r="N16" s="1794">
        <f>IF(W5&lt;4,0,IF(N12=0,0,N15/N12))</f>
        <v>8.2251082251082259</v>
      </c>
      <c r="O16" s="1794">
        <f>IF(X5&lt;4,0,IF(O12=0,0,O15/O12))</f>
        <v>6.5800865800865811</v>
      </c>
      <c r="P16" s="1794">
        <f>IF(Y5&lt;4,0,IF(P12=0,0,P15/P12))</f>
        <v>6.5800865800865811</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70.679999999999993</v>
      </c>
      <c r="L17" s="1235"/>
      <c r="M17" s="865">
        <f>M14*(100-M9)/100</f>
        <v>24.738000000000003</v>
      </c>
      <c r="N17" s="870">
        <f>N14*(100-N9)/100</f>
        <v>17.670000000000002</v>
      </c>
      <c r="O17" s="870">
        <f>O14*(100-O9)/100</f>
        <v>14.135999999999999</v>
      </c>
      <c r="P17" s="870">
        <f>P14*(100-P9)/100</f>
        <v>14.135999999999999</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191.02702702702703</v>
      </c>
      <c r="L18" s="1235"/>
      <c r="M18" s="865">
        <f>IF(M11=0,0,M17/M11*100)</f>
        <v>66.859459459459472</v>
      </c>
      <c r="N18" s="870">
        <f>IF(N11=0,0,N17/N11*100)</f>
        <v>47.756756756756765</v>
      </c>
      <c r="O18" s="870">
        <f>IF(O11=0,0,O17/O11*100)</f>
        <v>38.205405405405401</v>
      </c>
      <c r="P18" s="870">
        <f>IF(P11=0,0,P17/P11*100)</f>
        <v>38.205405405405401</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5.99</v>
      </c>
      <c r="L20" s="1238"/>
      <c r="M20" s="254">
        <v>6.2</v>
      </c>
      <c r="N20" s="255">
        <v>6</v>
      </c>
      <c r="O20" s="255">
        <v>5.8</v>
      </c>
      <c r="P20" s="255">
        <v>5.8</v>
      </c>
      <c r="Q20" s="256"/>
    </row>
    <row r="21" spans="1:34" s="433" customFormat="1" ht="14.95" customHeight="1" x14ac:dyDescent="0.2">
      <c r="A21" s="830"/>
      <c r="B21" s="876"/>
      <c r="C21" s="849"/>
      <c r="D21" s="78"/>
      <c r="E21" s="434"/>
      <c r="F21" s="877" t="s">
        <v>134</v>
      </c>
      <c r="G21" s="427">
        <v>0.6</v>
      </c>
      <c r="H21" s="852"/>
      <c r="J21" s="877" t="s">
        <v>135</v>
      </c>
      <c r="K21" s="1229">
        <f>(M$17*M21+N$17*N21+O$17*O21+P$17*P21+Q$17*Q21)/K$17</f>
        <v>9.9833333333333361</v>
      </c>
      <c r="L21" s="1238"/>
      <c r="M21" s="428">
        <f>IF($G21=0,0,M20/$G21)</f>
        <v>10.333333333333334</v>
      </c>
      <c r="N21" s="429">
        <f>IF($G21=0,0,N20/$G21)</f>
        <v>10</v>
      </c>
      <c r="O21" s="429">
        <f>IF($G21=0,0,O20/$G21)</f>
        <v>9.6666666666666661</v>
      </c>
      <c r="P21" s="429">
        <f>IF($G21=0,0,P20/$G21)</f>
        <v>9.6666666666666661</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4233.732</v>
      </c>
      <c r="L22" s="1240"/>
      <c r="M22" s="385">
        <f t="shared" ref="M22:Q23" si="0">M$17*M20*10</f>
        <v>1533.7560000000003</v>
      </c>
      <c r="N22" s="387">
        <f t="shared" si="0"/>
        <v>1060.2</v>
      </c>
      <c r="O22" s="387">
        <f t="shared" si="0"/>
        <v>819.88799999999992</v>
      </c>
      <c r="P22" s="387">
        <f t="shared" si="0"/>
        <v>819.88799999999992</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7056.2199999999993</v>
      </c>
      <c r="L23" s="1242"/>
      <c r="M23" s="386">
        <f t="shared" si="0"/>
        <v>2556.2600000000002</v>
      </c>
      <c r="N23" s="388">
        <f t="shared" si="0"/>
        <v>1767.0000000000002</v>
      </c>
      <c r="O23" s="388">
        <f t="shared" si="0"/>
        <v>1366.48</v>
      </c>
      <c r="P23" s="388">
        <f t="shared" si="0"/>
        <v>1366.48</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1005.576656</v>
      </c>
      <c r="M34" s="894">
        <f>$L34*M$7/100</f>
        <v>351.9518296</v>
      </c>
      <c r="N34" s="895">
        <f>$L34*N$7/100</f>
        <v>251.39416399999999</v>
      </c>
      <c r="O34" s="895">
        <f>$L34*O$7/100</f>
        <v>201.11533120000001</v>
      </c>
      <c r="P34" s="895">
        <f>$L34*P$7/100</f>
        <v>201.11533120000001</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2.72</v>
      </c>
      <c r="I36" s="112">
        <v>-50</v>
      </c>
      <c r="J36" s="913"/>
      <c r="K36" s="1255">
        <f>H36*$K$14+I36</f>
        <v>156.72000000000003</v>
      </c>
      <c r="L36" s="1256">
        <f>K36*$F36</f>
        <v>559.49040000000002</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0.8</v>
      </c>
      <c r="I37" s="112"/>
      <c r="J37" s="913"/>
      <c r="K37" s="1255">
        <f>H37*$K$14+I37</f>
        <v>60.800000000000004</v>
      </c>
      <c r="L37" s="1256">
        <f>K37*$F37</f>
        <v>157.72736000000003</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3.13</v>
      </c>
      <c r="I38" s="112"/>
      <c r="J38" s="913"/>
      <c r="K38" s="1255">
        <f>H38*$K$14+I38</f>
        <v>237.88</v>
      </c>
      <c r="L38" s="1256">
        <f>K38*$F38</f>
        <v>220.80021600000001</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0.45</v>
      </c>
      <c r="I39" s="115"/>
      <c r="J39" s="920"/>
      <c r="K39" s="1257">
        <f>H39*$K$14+I39</f>
        <v>34.200000000000003</v>
      </c>
      <c r="L39" s="1258">
        <f>K39*$F39</f>
        <v>67.558679999999995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160.07038215680001</v>
      </c>
      <c r="M43" s="931">
        <f>SUM(Z46:Z56)</f>
        <v>47.003647600399994</v>
      </c>
      <c r="N43" s="931">
        <f>SUM(AA46:AA56)</f>
        <v>44.376076139599995</v>
      </c>
      <c r="O43" s="931">
        <f>SUM(AB46:AB56)</f>
        <v>35.659114938800002</v>
      </c>
      <c r="P43" s="931">
        <f>SUM(AC46:AC56)</f>
        <v>33.031543478000003</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28</v>
      </c>
      <c r="C50" s="103"/>
      <c r="D50" s="132"/>
      <c r="E50" s="438"/>
      <c r="F50" s="438"/>
      <c r="G50" s="399">
        <f>IF($B50=0,0,VLOOKUP($B50,Arbeitsgänge!$B$26:$M$78,6))</f>
        <v>200</v>
      </c>
      <c r="H50" s="424">
        <f>IF($B50=0,0,VLOOKUP($B50,Arbeitsgänge!$B$26:$O$78,11))</f>
        <v>0.3</v>
      </c>
      <c r="I50" s="400">
        <f>IF($B50=0,0,VLOOKUP($B50,Arbeitsgänge!$B$26:$T$79,12))</f>
        <v>16.220808179999999</v>
      </c>
      <c r="J50" s="493">
        <f t="shared" si="5"/>
        <v>3.8</v>
      </c>
      <c r="K50" s="1266">
        <f t="shared" si="1"/>
        <v>1.1399999999999999</v>
      </c>
      <c r="L50" s="1256">
        <f t="shared" si="2"/>
        <v>61.639071083999994</v>
      </c>
      <c r="M50" s="259">
        <v>1.1000000000000001</v>
      </c>
      <c r="N50" s="260">
        <v>1</v>
      </c>
      <c r="O50" s="260">
        <v>0.9</v>
      </c>
      <c r="P50" s="260">
        <v>0.8</v>
      </c>
      <c r="Q50" s="261">
        <f>Q$15/150</f>
        <v>0</v>
      </c>
      <c r="R50" s="449"/>
      <c r="S50" s="449"/>
      <c r="T50" s="406">
        <f t="shared" si="3"/>
        <v>0.33</v>
      </c>
      <c r="U50" s="407">
        <f t="shared" si="3"/>
        <v>0.3</v>
      </c>
      <c r="V50" s="407">
        <f t="shared" si="3"/>
        <v>0.27</v>
      </c>
      <c r="W50" s="407">
        <f t="shared" si="3"/>
        <v>0.24</v>
      </c>
      <c r="X50" s="408">
        <f t="shared" si="3"/>
        <v>0</v>
      </c>
      <c r="Y50" s="434"/>
      <c r="Z50" s="406">
        <f t="shared" si="4"/>
        <v>17.842888997999999</v>
      </c>
      <c r="AA50" s="407">
        <f t="shared" si="4"/>
        <v>16.220808179999999</v>
      </c>
      <c r="AB50" s="407">
        <f t="shared" si="4"/>
        <v>14.598727362</v>
      </c>
      <c r="AC50" s="407">
        <f t="shared" si="4"/>
        <v>12.976646543999999</v>
      </c>
      <c r="AD50" s="408">
        <f t="shared" si="4"/>
        <v>0</v>
      </c>
      <c r="AE50" s="434"/>
      <c r="AF50" s="434"/>
      <c r="AG50" s="434"/>
      <c r="AH50" s="434"/>
      <c r="AI50" s="434"/>
      <c r="AJ50" s="434"/>
      <c r="AK50" s="434"/>
      <c r="AL50" s="434"/>
      <c r="AM50" s="434"/>
    </row>
    <row r="51" spans="1:39" s="436" customFormat="1" ht="14.9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2</v>
      </c>
      <c r="K51" s="1266">
        <f t="shared" si="1"/>
        <v>0.7</v>
      </c>
      <c r="L51" s="1256">
        <f t="shared" si="2"/>
        <v>12.178779479999999</v>
      </c>
      <c r="M51" s="259">
        <v>1</v>
      </c>
      <c r="N51" s="260">
        <v>1</v>
      </c>
      <c r="O51" s="260"/>
      <c r="P51" s="260"/>
      <c r="Q51" s="261"/>
      <c r="R51" s="449"/>
      <c r="S51" s="449"/>
      <c r="T51" s="406">
        <f t="shared" si="3"/>
        <v>0.35</v>
      </c>
      <c r="U51" s="407">
        <f t="shared" si="3"/>
        <v>0.35</v>
      </c>
      <c r="V51" s="407">
        <f t="shared" si="3"/>
        <v>0</v>
      </c>
      <c r="W51" s="407">
        <f t="shared" si="3"/>
        <v>0</v>
      </c>
      <c r="X51" s="408">
        <f t="shared" si="3"/>
        <v>0</v>
      </c>
      <c r="Y51" s="434"/>
      <c r="Z51" s="406">
        <f t="shared" si="4"/>
        <v>6.0893897399999997</v>
      </c>
      <c r="AA51" s="407">
        <f t="shared" si="4"/>
        <v>6.0893897399999997</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4</v>
      </c>
      <c r="K52" s="1266"/>
      <c r="L52" s="1256"/>
      <c r="M52" s="259">
        <v>1</v>
      </c>
      <c r="N52" s="260">
        <v>1</v>
      </c>
      <c r="O52" s="260">
        <v>1</v>
      </c>
      <c r="P52" s="260">
        <v>1</v>
      </c>
      <c r="Q52" s="261"/>
      <c r="R52" s="449"/>
      <c r="S52" s="449"/>
      <c r="T52" s="406">
        <f t="shared" si="3"/>
        <v>0.26</v>
      </c>
      <c r="U52" s="407">
        <f t="shared" si="3"/>
        <v>0.26</v>
      </c>
      <c r="V52" s="407">
        <f t="shared" si="3"/>
        <v>0.26</v>
      </c>
      <c r="W52" s="407">
        <f t="shared" si="3"/>
        <v>0.26</v>
      </c>
      <c r="X52" s="408">
        <f t="shared" si="3"/>
        <v>0</v>
      </c>
      <c r="Y52" s="434"/>
      <c r="Z52" s="406">
        <f t="shared" si="4"/>
        <v>7.3773665359999994</v>
      </c>
      <c r="AA52" s="407">
        <f t="shared" si="4"/>
        <v>7.3773665359999994</v>
      </c>
      <c r="AB52" s="407">
        <f t="shared" si="4"/>
        <v>7.3773665359999994</v>
      </c>
      <c r="AC52" s="407">
        <f t="shared" si="4"/>
        <v>7.3773665359999994</v>
      </c>
      <c r="AD52" s="408">
        <f t="shared" si="4"/>
        <v>0</v>
      </c>
      <c r="AE52" s="434"/>
      <c r="AF52" s="434"/>
      <c r="AG52" s="434"/>
      <c r="AH52" s="434"/>
      <c r="AI52" s="434"/>
      <c r="AJ52" s="434"/>
      <c r="AK52" s="434"/>
      <c r="AL52" s="434"/>
      <c r="AM52" s="434"/>
    </row>
    <row r="53" spans="1:39" s="436" customFormat="1" ht="14.95" customHeight="1" x14ac:dyDescent="0.2">
      <c r="A53" s="887" t="s">
        <v>282</v>
      </c>
      <c r="B53" s="1415">
        <v>43</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37</v>
      </c>
      <c r="C54" s="103"/>
      <c r="D54" s="132"/>
      <c r="E54" s="438"/>
      <c r="F54" s="438"/>
      <c r="G54" s="399">
        <f>IF($B54=0,0,VLOOKUP($B54,Arbeitsgänge!$B$26:$M$78,6))</f>
        <v>102</v>
      </c>
      <c r="H54" s="424">
        <f>IF($B54=0,0,VLOOKUP($B54,Arbeitsgänge!$B$26:$O$78,11))</f>
        <v>0.49</v>
      </c>
      <c r="I54" s="400">
        <f>IF($B54=0,0,VLOOKUP($B54,Arbeitsgänge!$B$26:$T$79,12))</f>
        <v>10.054906428000001</v>
      </c>
      <c r="J54" s="493">
        <f t="shared" si="5"/>
        <v>3.8</v>
      </c>
      <c r="K54" s="1266">
        <f t="shared" si="1"/>
        <v>1.8619999999999999</v>
      </c>
      <c r="L54" s="1256">
        <f t="shared" si="2"/>
        <v>38.208644426399999</v>
      </c>
      <c r="M54" s="259">
        <v>1.1000000000000001</v>
      </c>
      <c r="N54" s="260">
        <v>1</v>
      </c>
      <c r="O54" s="260">
        <v>0.9</v>
      </c>
      <c r="P54" s="260">
        <v>0.8</v>
      </c>
      <c r="Q54" s="261"/>
      <c r="R54" s="449"/>
      <c r="S54" s="449"/>
      <c r="T54" s="406">
        <f t="shared" si="3"/>
        <v>0.53900000000000003</v>
      </c>
      <c r="U54" s="407">
        <f t="shared" si="3"/>
        <v>0.49</v>
      </c>
      <c r="V54" s="407">
        <f t="shared" si="3"/>
        <v>0.441</v>
      </c>
      <c r="W54" s="407">
        <f t="shared" si="3"/>
        <v>0.39200000000000002</v>
      </c>
      <c r="X54" s="408">
        <f t="shared" si="3"/>
        <v>0</v>
      </c>
      <c r="Y54" s="434"/>
      <c r="Z54" s="406">
        <f t="shared" si="4"/>
        <v>11.060397070800002</v>
      </c>
      <c r="AA54" s="407">
        <f t="shared" si="4"/>
        <v>10.054906428000001</v>
      </c>
      <c r="AB54" s="407">
        <f t="shared" si="4"/>
        <v>9.0494157852000008</v>
      </c>
      <c r="AC54" s="407">
        <f t="shared" si="4"/>
        <v>8.0439251424000009</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6.0820000000000007</v>
      </c>
      <c r="L57" s="1270"/>
      <c r="M57" s="944">
        <f>SUM(T46:T56)</f>
        <v>1.8140000000000001</v>
      </c>
      <c r="N57" s="945">
        <f>SUM(U46:U56)</f>
        <v>1.7350000000000001</v>
      </c>
      <c r="O57" s="945">
        <f>SUM(V46:V56)</f>
        <v>1.306</v>
      </c>
      <c r="P57" s="945">
        <f>SUM(W46:W56)</f>
        <v>1.2269999999999999</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60</v>
      </c>
      <c r="H58" s="800" t="s">
        <v>487</v>
      </c>
      <c r="I58" s="800"/>
      <c r="J58" s="950"/>
      <c r="K58" s="1271">
        <f>SUM(M58:Q58)</f>
        <v>9.7311999999999994</v>
      </c>
      <c r="L58" s="1272"/>
      <c r="M58" s="951">
        <f>M57+M57*$G$58/100</f>
        <v>2.9024000000000001</v>
      </c>
      <c r="N58" s="952">
        <f>N57+N57*$G$58/100</f>
        <v>2.7760000000000002</v>
      </c>
      <c r="O58" s="952">
        <f>O57+O57*$G$58/100</f>
        <v>2.0895999999999999</v>
      </c>
      <c r="P58" s="952">
        <f>P57+P57*$G$58/100</f>
        <v>1.9631999999999996</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153.51</v>
      </c>
      <c r="M59" s="886">
        <f>SUM(T61:T63)</f>
        <v>51.467500000000001</v>
      </c>
      <c r="N59" s="870">
        <f>SUM(U61:U63)</f>
        <v>37.1875</v>
      </c>
      <c r="O59" s="870">
        <f>SUM(V61:V63)</f>
        <v>32.427499999999995</v>
      </c>
      <c r="P59" s="870">
        <f>SUM(W61:W63)</f>
        <v>32.427499999999995</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t="s">
        <v>1109</v>
      </c>
      <c r="E62" s="2078"/>
      <c r="F62" s="2078"/>
      <c r="G62" s="2243">
        <v>40</v>
      </c>
      <c r="H62" s="755">
        <f>G62*(100+$H$59)/100</f>
        <v>47.6</v>
      </c>
      <c r="I62" s="756"/>
      <c r="J62" s="2070">
        <f>SUM(M62:Q62)</f>
        <v>2.9</v>
      </c>
      <c r="K62" s="1718"/>
      <c r="L62" s="1284">
        <f>J62*H62</f>
        <v>138.04</v>
      </c>
      <c r="M62" s="2244">
        <v>1</v>
      </c>
      <c r="N62" s="2245">
        <v>0.7</v>
      </c>
      <c r="O62" s="2245">
        <v>0.6</v>
      </c>
      <c r="P62" s="2245">
        <v>0.6</v>
      </c>
      <c r="Q62" s="2246"/>
      <c r="R62" s="449"/>
      <c r="S62" s="449"/>
      <c r="T62" s="494">
        <f>IF(M62&lt;&gt;0,M62*$H62,0)</f>
        <v>47.6</v>
      </c>
      <c r="U62" s="494">
        <f t="shared" si="6"/>
        <v>33.32</v>
      </c>
      <c r="V62" s="494">
        <f t="shared" si="6"/>
        <v>28.56</v>
      </c>
      <c r="W62" s="494">
        <f t="shared" si="6"/>
        <v>28.56</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0.35</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7">SUM(L69:L70)</f>
        <v>33.32</v>
      </c>
      <c r="M67" s="886">
        <f t="shared" si="7"/>
        <v>11.661999999999999</v>
      </c>
      <c r="N67" s="870">
        <f t="shared" si="7"/>
        <v>8.33</v>
      </c>
      <c r="O67" s="870">
        <f t="shared" si="7"/>
        <v>6.6640000000000006</v>
      </c>
      <c r="P67" s="870">
        <f t="shared" si="7"/>
        <v>6.6640000000000006</v>
      </c>
      <c r="Q67" s="871">
        <f t="shared" si="7"/>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t="s">
        <v>1</v>
      </c>
      <c r="E69" s="2683"/>
      <c r="F69" s="2682"/>
      <c r="G69" s="2684"/>
      <c r="H69" s="2685"/>
      <c r="I69" s="2686">
        <f>Preise!M47</f>
        <v>33.32</v>
      </c>
      <c r="K69" s="1285"/>
      <c r="L69" s="1286">
        <f>SUM(M69:Q69)</f>
        <v>33.32</v>
      </c>
      <c r="M69" s="2687">
        <f>$I$69*M7%</f>
        <v>11.661999999999999</v>
      </c>
      <c r="N69" s="2687">
        <f t="shared" ref="N69:Q69" si="8">$I$69*N7%</f>
        <v>8.33</v>
      </c>
      <c r="O69" s="2687">
        <f t="shared" si="8"/>
        <v>6.6640000000000006</v>
      </c>
      <c r="P69" s="2687">
        <f t="shared" si="8"/>
        <v>6.6640000000000006</v>
      </c>
      <c r="Q69" s="2687">
        <f t="shared" si="8"/>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9">K16</f>
        <v>32.900432900432904</v>
      </c>
      <c r="L77" s="2121">
        <f t="shared" si="9"/>
        <v>0</v>
      </c>
      <c r="M77" s="2121">
        <f t="shared" si="9"/>
        <v>11.515151515151516</v>
      </c>
      <c r="N77" s="2121">
        <f t="shared" si="9"/>
        <v>8.2251082251082259</v>
      </c>
      <c r="O77" s="2121">
        <f t="shared" si="9"/>
        <v>6.5800865800865811</v>
      </c>
      <c r="P77" s="2121">
        <f t="shared" si="9"/>
        <v>6.5800865800865811</v>
      </c>
      <c r="Q77" s="2121">
        <f t="shared" si="9"/>
        <v>0</v>
      </c>
    </row>
    <row r="78" spans="1:38" x14ac:dyDescent="0.2">
      <c r="D78" s="2121" t="s">
        <v>558</v>
      </c>
      <c r="E78" s="2121"/>
      <c r="F78" s="2121"/>
      <c r="G78" s="2121"/>
      <c r="H78" s="2121"/>
      <c r="I78" s="2121"/>
      <c r="J78" s="2121" t="s">
        <v>559</v>
      </c>
      <c r="K78" s="2121"/>
      <c r="L78" s="2121"/>
      <c r="M78" s="2121">
        <f>HLOOKUP(V$5,Energ.!$F$58:$N$66,Energ.!$A$65)</f>
        <v>2.5287500000000001</v>
      </c>
      <c r="N78" s="2121">
        <f>HLOOKUP(W$5,Energ.!$F$58:$N$66,Energ.!$A$65)</f>
        <v>2.5287500000000001</v>
      </c>
      <c r="O78" s="2121">
        <f>HLOOKUP(X$5,Energ.!$F$58:$N$66,Energ.!$A$65)</f>
        <v>2.5287500000000001</v>
      </c>
      <c r="P78" s="2121">
        <f>HLOOKUP(Y$5,Energ.!$F$58:$N$66,Energ.!$A$65)</f>
        <v>2.5287500000000001</v>
      </c>
      <c r="Q78" s="2121">
        <f>HLOOKUP(Z$5,Energ.!$F$58:$N$66,Energ.!$A$65)</f>
        <v>0</v>
      </c>
    </row>
    <row r="79" spans="1:38" x14ac:dyDescent="0.2">
      <c r="D79" s="2121" t="s">
        <v>558</v>
      </c>
      <c r="E79" s="2121"/>
      <c r="F79" s="2121"/>
      <c r="G79" s="2121"/>
      <c r="H79" s="2121"/>
      <c r="I79" s="2121"/>
      <c r="J79" s="2121" t="s">
        <v>154</v>
      </c>
      <c r="K79" s="2121">
        <f>SUM(M79:P79)</f>
        <v>83.196969696969703</v>
      </c>
      <c r="L79" s="2121"/>
      <c r="M79" s="2121">
        <f>M78*M16</f>
        <v>29.118939393939396</v>
      </c>
      <c r="N79" s="2121">
        <f>N78*N16</f>
        <v>20.799242424242426</v>
      </c>
      <c r="O79" s="2121">
        <f>O78*O16</f>
        <v>16.639393939393944</v>
      </c>
      <c r="P79" s="2121">
        <f>P78*P16</f>
        <v>16.639393939393944</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H3" sqref="H3:Q3"/>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0833"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40834"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40835"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40836"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40837"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040838"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40839"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40840"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40841"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040842"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040843"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040844"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040845"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040846"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040847"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040848"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40849"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40850"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40851"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40852"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40853"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S98"/>
  <sheetViews>
    <sheetView showGridLines="0" showZeros="0" zoomScale="80" zoomScaleNormal="80" workbookViewId="0">
      <pane xSplit="13" ySplit="5" topLeftCell="N9" activePane="bottomRight" state="frozen"/>
      <selection pane="topRight"/>
      <selection pane="bottomLeft"/>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'GSilo4(a)'!K2</f>
        <v>Wiese günstig 4xSilage</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'GSilo4(a)'!H3</f>
        <v xml:space="preserve">Fahrsilo, Silierwagen im Lohn, Übersaat alle fünf Jahre </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'GSilo4(a)'!M5</f>
        <v>Silage</v>
      </c>
      <c r="O5" s="2679" t="str">
        <f>'GSilo4(a)'!N5</f>
        <v>Silage</v>
      </c>
      <c r="P5" s="2679" t="str">
        <f>'GSilo4(a)'!O5</f>
        <v>Silage</v>
      </c>
      <c r="Q5" s="2679" t="str">
        <f>'GSilo4(a)'!P5</f>
        <v>Silage</v>
      </c>
      <c r="R5" s="2680">
        <f>'GSilo4(a)'!Q5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'GSilo4(a)'!K6</f>
        <v>80</v>
      </c>
      <c r="N6" s="1361">
        <f>'GSilo4(a)'!M6</f>
        <v>28</v>
      </c>
      <c r="O6" s="1361">
        <f>'GSilo4(a)'!N6</f>
        <v>20</v>
      </c>
      <c r="P6" s="1361">
        <f>'GSilo4(a)'!O6</f>
        <v>16</v>
      </c>
      <c r="Q6" s="1361">
        <f>'GSilo4(a)'!P6</f>
        <v>16</v>
      </c>
      <c r="R6" s="1362">
        <f>'GSilo4(a)'!Q6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'GSilo4(a)'!K14</f>
        <v>76</v>
      </c>
      <c r="N7" s="391">
        <f>'GSilo4(a)'!M14</f>
        <v>26.6</v>
      </c>
      <c r="O7" s="391">
        <f>'GSilo4(a)'!N14</f>
        <v>19</v>
      </c>
      <c r="P7" s="391">
        <f>'GSilo4(a)'!O14</f>
        <v>15.2</v>
      </c>
      <c r="Q7" s="391">
        <f>'GSilo4(a)'!P14</f>
        <v>15.2</v>
      </c>
      <c r="R7" s="1299">
        <f>'GSilo4(a)'!Q14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'GSilo4(a)'!K15</f>
        <v>217.14285714285717</v>
      </c>
      <c r="N8" s="404">
        <f>'GSilo4(a)'!M15</f>
        <v>76</v>
      </c>
      <c r="O8" s="404">
        <f>'GSilo4(a)'!N15</f>
        <v>54.285714285714285</v>
      </c>
      <c r="P8" s="404">
        <f>'GSilo4(a)'!O15</f>
        <v>43.428571428571431</v>
      </c>
      <c r="Q8" s="404">
        <f>'GSilo4(a)'!P15</f>
        <v>43.428571428571431</v>
      </c>
      <c r="R8" s="1201">
        <f>'GSilo4(a)'!Q15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'GSilo4(a)'!K17</f>
        <v>70.679999999999993</v>
      </c>
      <c r="N9" s="391">
        <f>'GSilo4(a)'!M17</f>
        <v>24.738000000000003</v>
      </c>
      <c r="O9" s="391">
        <f>'GSilo4(a)'!N17</f>
        <v>17.670000000000002</v>
      </c>
      <c r="P9" s="391">
        <f>'GSilo4(a)'!O17</f>
        <v>14.135999999999999</v>
      </c>
      <c r="Q9" s="391">
        <f>'GSilo4(a)'!P17</f>
        <v>14.135999999999999</v>
      </c>
      <c r="R9" s="1299">
        <f>'GSilo4(a)'!Q17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'GSilo4(a)'!K18</f>
        <v>191.02702702702703</v>
      </c>
      <c r="N10" s="1303">
        <f>'GSilo4(a)'!M18</f>
        <v>66.859459459459472</v>
      </c>
      <c r="O10" s="1303">
        <f>'GSilo4(a)'!N18</f>
        <v>47.756756756756765</v>
      </c>
      <c r="P10" s="1303">
        <f>'GSilo4(a)'!O18</f>
        <v>38.205405405405401</v>
      </c>
      <c r="Q10" s="1303">
        <f>'GSilo4(a)'!P18</f>
        <v>38.205405405405401</v>
      </c>
      <c r="R10" s="1300">
        <f>'GSilo4(a)'!Q18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'GSilo4(a)'!K19</f>
        <v>0</v>
      </c>
      <c r="N11" s="1551">
        <f>'GSilo4(a)'!L19</f>
        <v>0</v>
      </c>
      <c r="O11" s="1551">
        <f>'GSilo4(a)'!M19</f>
        <v>0</v>
      </c>
      <c r="P11" s="1551">
        <f>'GSilo4(a)'!N19</f>
        <v>0</v>
      </c>
      <c r="Q11" s="1551">
        <f>'GSilo4(a)'!O19</f>
        <v>0</v>
      </c>
      <c r="R11" s="1552">
        <f>'GSilo4(a)'!P19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'GSilo4(a)'!K22</f>
        <v>4233.732</v>
      </c>
      <c r="N12" s="967">
        <f>'GSilo4(a)'!M22</f>
        <v>1533.7560000000003</v>
      </c>
      <c r="O12" s="967">
        <f>'GSilo4(a)'!N22</f>
        <v>1060.2</v>
      </c>
      <c r="P12" s="967">
        <f>'GSilo4(a)'!O22</f>
        <v>819.88799999999992</v>
      </c>
      <c r="Q12" s="967">
        <f>'GSilo4(a)'!P22</f>
        <v>819.88799999999992</v>
      </c>
      <c r="R12" s="1302">
        <f>'GSilo4(a)'!Q22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'GSilo4(a)'!K23</f>
        <v>7056.2199999999993</v>
      </c>
      <c r="N13" s="1521">
        <f>'GSilo4(a)'!M23</f>
        <v>2556.2600000000002</v>
      </c>
      <c r="O13" s="1521">
        <f>'GSilo4(a)'!N23</f>
        <v>1767.0000000000002</v>
      </c>
      <c r="P13" s="1521">
        <f>'GSilo4(a)'!O23</f>
        <v>1366.48</v>
      </c>
      <c r="Q13" s="1521">
        <f>'GSilo4(a)'!P23</f>
        <v>1366.48</v>
      </c>
      <c r="R13" s="1523">
        <f>'GSilo4(a)'!Q23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'GSilo4(a)'!L32</f>
        <v>29.424999999999997</v>
      </c>
      <c r="N19" s="1527">
        <f>'GSilo4(a)'!M32</f>
        <v>10.29875</v>
      </c>
      <c r="O19" s="1527">
        <f>'GSilo4(a)'!N32</f>
        <v>7.3562499999999993</v>
      </c>
      <c r="P19" s="1527">
        <f>'GSilo4(a)'!O32</f>
        <v>5.8849999999999998</v>
      </c>
      <c r="Q19" s="1527">
        <f>'GSilo4(a)'!P32</f>
        <v>5.8849999999999998</v>
      </c>
      <c r="R19" s="1529">
        <f>'GSilo4(a)'!Q32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'GSilo4(a)'!L34</f>
        <v>1005.576656</v>
      </c>
      <c r="N20" s="235">
        <f>'GSilo4(a)'!M34</f>
        <v>351.9518296</v>
      </c>
      <c r="O20" s="235">
        <f>'GSilo4(a)'!N34</f>
        <v>251.39416399999999</v>
      </c>
      <c r="P20" s="235">
        <f>'GSilo4(a)'!O34</f>
        <v>201.11533120000001</v>
      </c>
      <c r="Q20" s="235">
        <f>'GSilo4(a)'!P34</f>
        <v>201.11533120000001</v>
      </c>
      <c r="R20" s="1192">
        <f>'GSilo4(a)'!Q34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'GSilo4(a)'!L40</f>
        <v>0</v>
      </c>
      <c r="N21" s="235">
        <f>'GSilo4(a)'!M40</f>
        <v>0</v>
      </c>
      <c r="O21" s="235">
        <f>'GSilo4(a)'!N40</f>
        <v>0</v>
      </c>
      <c r="P21" s="235">
        <f>'GSilo4(a)'!O40</f>
        <v>0</v>
      </c>
      <c r="Q21" s="235">
        <f>'GSilo4(a)'!P40</f>
        <v>0</v>
      </c>
      <c r="R21" s="1192">
        <f>'GSilo4(a)'!Q40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'GSilo4(a)'!L67</f>
        <v>33.32</v>
      </c>
      <c r="N23" s="235">
        <f>'GSilo4(a)'!M67</f>
        <v>11.661999999999999</v>
      </c>
      <c r="O23" s="235">
        <f>'GSilo4(a)'!N67</f>
        <v>8.33</v>
      </c>
      <c r="P23" s="235">
        <f>'GSilo4(a)'!O67</f>
        <v>6.6640000000000006</v>
      </c>
      <c r="Q23" s="235">
        <f>'GSilo4(a)'!P67</f>
        <v>6.6640000000000006</v>
      </c>
      <c r="R23" s="1192">
        <f>'GSilo4(a)'!Q67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'GSilo4(a)'!L43</f>
        <v>160.07038215680001</v>
      </c>
      <c r="N24" s="235">
        <f>'GSilo4(a)'!M43</f>
        <v>47.003647600399994</v>
      </c>
      <c r="O24" s="235">
        <f>'GSilo4(a)'!N43</f>
        <v>44.376076139599995</v>
      </c>
      <c r="P24" s="235">
        <f>'GSilo4(a)'!O43</f>
        <v>35.659114938800002</v>
      </c>
      <c r="Q24" s="235">
        <f>'GSilo4(a)'!P43</f>
        <v>33.031543478000003</v>
      </c>
      <c r="R24" s="1192">
        <f>'GSilo4(a)'!Q43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'GSilo4(a)'!L59</f>
        <v>153.51</v>
      </c>
      <c r="N25" s="235">
        <f>'GSilo4(a)'!M59</f>
        <v>51.467500000000001</v>
      </c>
      <c r="O25" s="235">
        <f>'GSilo4(a)'!N59</f>
        <v>37.1875</v>
      </c>
      <c r="P25" s="235">
        <f>'GSilo4(a)'!O59</f>
        <v>32.427499999999995</v>
      </c>
      <c r="Q25" s="235">
        <f>'GSilo4(a)'!P59</f>
        <v>32.427499999999995</v>
      </c>
      <c r="R25" s="1192">
        <f>'GSilo4(a)'!Q59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'GSilo4(a)'!L64</f>
        <v>0</v>
      </c>
      <c r="N26" s="1437">
        <f>'GSilo4(a)'!M64</f>
        <v>0</v>
      </c>
      <c r="O26" s="1437">
        <f>'GSilo4(a)'!N64</f>
        <v>0</v>
      </c>
      <c r="P26" s="1437">
        <f>'GSilo4(a)'!O64</f>
        <v>0</v>
      </c>
      <c r="Q26" s="1437">
        <f>'GSilo4(a)'!P64</f>
        <v>0</v>
      </c>
      <c r="R26" s="1439">
        <f>'GSilo4(a)'!Q64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1381.9020381567998</v>
      </c>
      <c r="N27" s="1782">
        <f t="shared" si="4"/>
        <v>472.3837272003999</v>
      </c>
      <c r="O27" s="1782">
        <f t="shared" si="4"/>
        <v>348.64399013959996</v>
      </c>
      <c r="P27" s="1782">
        <f t="shared" si="4"/>
        <v>281.75094613879997</v>
      </c>
      <c r="Q27" s="1782">
        <f t="shared" si="4"/>
        <v>279.123374678</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-1381.9020381567998</v>
      </c>
      <c r="N28" s="1321">
        <f t="shared" si="5"/>
        <v>-472.3837272003999</v>
      </c>
      <c r="O28" s="1321">
        <f t="shared" si="5"/>
        <v>-348.64399013959996</v>
      </c>
      <c r="P28" s="1321">
        <f t="shared" si="5"/>
        <v>-281.75094613879997</v>
      </c>
      <c r="Q28" s="1321">
        <f t="shared" si="5"/>
        <v>-279.123374678</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-0.32640281391377624</v>
      </c>
      <c r="N29" s="1377">
        <f t="shared" si="6"/>
        <v>-0.30799144531490003</v>
      </c>
      <c r="O29" s="1377">
        <f t="shared" si="6"/>
        <v>-0.32884737798490848</v>
      </c>
      <c r="P29" s="1377">
        <f t="shared" si="6"/>
        <v>-0.34364565177048573</v>
      </c>
      <c r="Q29" s="1377">
        <f t="shared" si="6"/>
        <v>-0.34044085860263845</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'GSilo4(a)'!L25</f>
        <v>270</v>
      </c>
      <c r="V30" s="2115">
        <f>'GSilo4(a)'!M25</f>
        <v>94.5</v>
      </c>
      <c r="W30" s="2115">
        <f>'GSilo4(a)'!N25</f>
        <v>67.5</v>
      </c>
      <c r="X30" s="2115">
        <f>'GSilo4(a)'!O25</f>
        <v>54</v>
      </c>
      <c r="Y30" s="2115">
        <f>'GSilo4(a)'!P25</f>
        <v>54</v>
      </c>
      <c r="Z30" s="2115">
        <f>'GSilo4(a)'!Q25</f>
        <v>0</v>
      </c>
      <c r="AA30">
        <f>'GSilo4(a)'!R25+'GSilo4(a)'!R30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M27*'GSilo4(a)'!$L$72*'GSilo4(a)'!$Q$72/12/100</f>
        <v>8.6368877384799987</v>
      </c>
      <c r="N31" s="1437">
        <f>N27*'GSilo4(a)'!$L$72*'GSilo4(a)'!$Q$72/12/100</f>
        <v>2.9523982950024998</v>
      </c>
      <c r="O31" s="1437">
        <f>O27*'GSilo4(a)'!$L$72*'GSilo4(a)'!$Q$72/12/100</f>
        <v>2.1790249383724998</v>
      </c>
      <c r="P31" s="1437">
        <f>P27*'GSilo4(a)'!$L$72*'GSilo4(a)'!$Q$72/12/100</f>
        <v>1.7609434133674997</v>
      </c>
      <c r="Q31" s="1437">
        <f>Q27*'GSilo4(a)'!$L$72*'GSilo4(a)'!$Q$72/12/100</f>
        <v>1.7445210917375003</v>
      </c>
      <c r="R31" s="1439">
        <f>R27*'GSilo4(a)'!$L$72*'GSilo4(a)'!$Q$72/12/100</f>
        <v>0</v>
      </c>
      <c r="T31" s="2112" t="s">
        <v>564</v>
      </c>
      <c r="U31" s="2115">
        <f>'GSilo4(a)'!L30</f>
        <v>270</v>
      </c>
      <c r="V31" s="2115">
        <f>'GSilo4(a)'!M30</f>
        <v>94.5</v>
      </c>
      <c r="W31" s="2115">
        <f>'GSilo4(a)'!N30</f>
        <v>67.5</v>
      </c>
      <c r="X31" s="2115">
        <f>'GSilo4(a)'!O30</f>
        <v>54</v>
      </c>
      <c r="Y31" s="2115">
        <f>'GSilo4(a)'!P30</f>
        <v>54</v>
      </c>
      <c r="Z31" s="2115">
        <f>'GSilo4(a)'!Q30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-850.53892589527982</v>
      </c>
      <c r="N32" s="1313">
        <f t="shared" si="8"/>
        <v>-286.33612549540243</v>
      </c>
      <c r="O32" s="1313">
        <f t="shared" si="8"/>
        <v>-215.82301507797246</v>
      </c>
      <c r="P32" s="1313">
        <f t="shared" si="8"/>
        <v>-175.51188955216747</v>
      </c>
      <c r="Q32" s="1313">
        <f t="shared" si="8"/>
        <v>-172.86789576973752</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-0.20089578789948911</v>
      </c>
      <c r="N33" s="1199">
        <f t="shared" si="10"/>
        <v>-0.18668949004626706</v>
      </c>
      <c r="O33" s="1199">
        <f t="shared" si="10"/>
        <v>-0.20356820890206795</v>
      </c>
      <c r="P33" s="1199">
        <f t="shared" si="10"/>
        <v>-0.2140681282713828</v>
      </c>
      <c r="Q33" s="1199">
        <f t="shared" si="10"/>
        <v>-0.21084330514623648</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-0.12053747273969348</v>
      </c>
      <c r="N34" s="1599">
        <f t="shared" si="11"/>
        <v>-0.11201369402776025</v>
      </c>
      <c r="O34" s="1599">
        <f t="shared" si="11"/>
        <v>-0.12214092534124077</v>
      </c>
      <c r="P34" s="1599">
        <f t="shared" si="11"/>
        <v>-0.12844087696282966</v>
      </c>
      <c r="Q34" s="1599">
        <f t="shared" si="11"/>
        <v>-0.12650598308774189</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'GSilo4(a)'!K58</f>
        <v>9.7311999999999994</v>
      </c>
      <c r="N36" s="1772">
        <f>'GSilo4(a)'!M58</f>
        <v>2.9024000000000001</v>
      </c>
      <c r="O36" s="1772">
        <f>'GSilo4(a)'!N58</f>
        <v>2.7760000000000002</v>
      </c>
      <c r="P36" s="1772">
        <f>'GSilo4(a)'!O58</f>
        <v>2.0895999999999999</v>
      </c>
      <c r="Q36" s="1772">
        <f>'GSilo4(a)'!P58</f>
        <v>1.9631999999999996</v>
      </c>
      <c r="R36" s="1773">
        <f>'GSilo4(a)'!Q58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'GSilo4(a)'!K16</f>
        <v>32.900432900432904</v>
      </c>
      <c r="N37" s="1775">
        <f>'GSilo4(a)'!M16</f>
        <v>11.515151515151516</v>
      </c>
      <c r="O37" s="1775">
        <f>'GSilo4(a)'!N16</f>
        <v>8.2251082251082259</v>
      </c>
      <c r="P37" s="1775">
        <f>'GSilo4(a)'!O16</f>
        <v>6.5800865800865811</v>
      </c>
      <c r="Q37" s="1775">
        <f>'GSilo4(a)'!P16</f>
        <v>6.5800865800865811</v>
      </c>
      <c r="R37" s="1776">
        <f>'GSilo4(a)'!Q16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'GSilo4(a)'!M78</f>
        <v>2.5287500000000001</v>
      </c>
      <c r="O38" s="1565">
        <f>'GSilo4(a)'!N78</f>
        <v>2.5287500000000001</v>
      </c>
      <c r="P38" s="1565">
        <f>'GSilo4(a)'!O78</f>
        <v>2.5287500000000001</v>
      </c>
      <c r="Q38" s="1565">
        <f>'GSilo4(a)'!P78</f>
        <v>2.5287500000000001</v>
      </c>
      <c r="R38" s="1566">
        <f>'GSilo4(a)'!Q78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160.56479999999999</v>
      </c>
      <c r="N39" s="235">
        <f t="shared" si="13"/>
        <v>47.889600000000002</v>
      </c>
      <c r="O39" s="235">
        <f t="shared" si="13"/>
        <v>45.804000000000002</v>
      </c>
      <c r="P39" s="235">
        <f t="shared" si="13"/>
        <v>34.478400000000001</v>
      </c>
      <c r="Q39" s="235">
        <f t="shared" si="13"/>
        <v>32.392799999999994</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83.196969696969703</v>
      </c>
      <c r="N40" s="235">
        <f>N37*N38</f>
        <v>29.118939393939396</v>
      </c>
      <c r="O40" s="235">
        <f>O37*O38</f>
        <v>20.799242424242426</v>
      </c>
      <c r="P40" s="235">
        <f>P37*P38</f>
        <v>16.639393939393944</v>
      </c>
      <c r="Q40" s="235">
        <f>Q37*Q38</f>
        <v>16.639393939393944</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Maschinen!S43</f>
        <v>312.80863780303025</v>
      </c>
      <c r="N41" s="235">
        <f>N$6/$M$6*$M$41</f>
        <v>109.48302323106059</v>
      </c>
      <c r="O41" s="235">
        <f>O$6/$M$6*$M$41</f>
        <v>78.202159450757563</v>
      </c>
      <c r="P41" s="235">
        <f>P$6/$M$6*$M$41</f>
        <v>62.561727560606052</v>
      </c>
      <c r="Q41" s="235">
        <f>Q$6/$M$6*$M$41</f>
        <v>62.561727560606052</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890.34415749999994</v>
      </c>
      <c r="N45" s="1449">
        <f t="shared" si="14"/>
        <v>303.31237512499996</v>
      </c>
      <c r="O45" s="1449">
        <f t="shared" si="14"/>
        <v>228.24883937499999</v>
      </c>
      <c r="P45" s="1449">
        <f t="shared" si="14"/>
        <v>180.43427149999999</v>
      </c>
      <c r="Q45" s="1449">
        <f t="shared" si="14"/>
        <v>178.34867149999999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2280.8830833952798</v>
      </c>
      <c r="N48" s="1577">
        <f t="shared" si="16"/>
        <v>778.64850062040239</v>
      </c>
      <c r="O48" s="1497">
        <f t="shared" si="16"/>
        <v>579.0718544529725</v>
      </c>
      <c r="P48" s="1497">
        <f t="shared" si="16"/>
        <v>463.94616105216744</v>
      </c>
      <c r="Q48" s="1497">
        <f t="shared" si="16"/>
        <v>459.21656726973754</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-2280.8830833952798</v>
      </c>
      <c r="N49" s="1575">
        <f t="shared" si="17"/>
        <v>-778.64850062040239</v>
      </c>
      <c r="O49" s="1316">
        <f t="shared" si="17"/>
        <v>-579.0718544529725</v>
      </c>
      <c r="P49" s="1316">
        <f t="shared" si="17"/>
        <v>-463.94616105216744</v>
      </c>
      <c r="Q49" s="1316">
        <f t="shared" si="17"/>
        <v>-459.21656726973754</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-0.5387405446058654</v>
      </c>
      <c r="N50" s="1854">
        <f t="shared" si="18"/>
        <v>-0.50767429801115838</v>
      </c>
      <c r="O50" s="1614">
        <f t="shared" si="18"/>
        <v>-0.54619114738065688</v>
      </c>
      <c r="P50" s="1614">
        <f t="shared" si="18"/>
        <v>-0.56586529020081699</v>
      </c>
      <c r="Q50" s="1614">
        <f t="shared" si="18"/>
        <v>-0.56009670500085085</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-1740.8830833952798</v>
      </c>
      <c r="N52" s="1622">
        <f t="shared" si="20"/>
        <v>-589.64850062040239</v>
      </c>
      <c r="O52" s="1537">
        <f t="shared" si="20"/>
        <v>-444.0718544529725</v>
      </c>
      <c r="P52" s="1537">
        <f t="shared" si="20"/>
        <v>-355.94616105216744</v>
      </c>
      <c r="Q52" s="1537">
        <f t="shared" si="20"/>
        <v>-351.21656726973754</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-0.41119350100461716</v>
      </c>
      <c r="N53" s="1854">
        <f t="shared" si="21"/>
        <v>-0.38444739620930724</v>
      </c>
      <c r="O53" s="1614">
        <f t="shared" si="21"/>
        <v>-0.41885668218541078</v>
      </c>
      <c r="P53" s="1614">
        <f t="shared" si="21"/>
        <v>-0.43413998137814858</v>
      </c>
      <c r="Q53" s="1614">
        <f t="shared" si="21"/>
        <v>-0.42837139617818237</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1740.8830833952798</v>
      </c>
      <c r="N55" s="1494">
        <f t="shared" si="22"/>
        <v>589.64850062040239</v>
      </c>
      <c r="O55" s="1494">
        <f t="shared" si="22"/>
        <v>444.0718544529725</v>
      </c>
      <c r="P55" s="1494">
        <f t="shared" si="22"/>
        <v>355.94616105216744</v>
      </c>
      <c r="Q55" s="1494">
        <f t="shared" si="22"/>
        <v>351.21656726973754</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9.1132815627653301</v>
      </c>
      <c r="N56" s="1559">
        <f t="shared" si="24"/>
        <v>8.8192232690415082</v>
      </c>
      <c r="O56" s="1559">
        <f t="shared" si="24"/>
        <v>9.2986183445161181</v>
      </c>
      <c r="P56" s="1559">
        <f t="shared" si="24"/>
        <v>9.316644000375069</v>
      </c>
      <c r="Q56" s="1559">
        <f t="shared" si="24"/>
        <v>9.1928501619837935</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24.63049071017657</v>
      </c>
      <c r="N57" s="2174">
        <f>IF($N$9=0,0,N$55/$N$9)</f>
        <v>23.835738564977053</v>
      </c>
      <c r="O57" s="2174">
        <f>IF($O$9=0,0,O$55/$O$9)</f>
        <v>25.131400931124645</v>
      </c>
      <c r="P57" s="2174">
        <f>IF($P$9=0,0,P$55/$P$9)</f>
        <v>25.180118919932617</v>
      </c>
      <c r="Q57" s="2174">
        <f>IF($Q$9=0,0,Q$55/$Q$9)</f>
        <v>24.845540978334576</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0.41119350100461716</v>
      </c>
      <c r="N59" s="1586">
        <f t="shared" si="25"/>
        <v>0.38444739620930724</v>
      </c>
      <c r="O59" s="1586">
        <f t="shared" si="25"/>
        <v>0.41885668218541078</v>
      </c>
      <c r="P59" s="1586">
        <f t="shared" si="25"/>
        <v>0.43413998137814858</v>
      </c>
      <c r="Q59" s="1586">
        <f t="shared" si="25"/>
        <v>0.42837139617818237</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0.11422041694572699</v>
      </c>
      <c r="N60" s="1586">
        <f t="shared" si="26"/>
        <v>0.10679094339147424</v>
      </c>
      <c r="O60" s="1586">
        <f t="shared" si="26"/>
        <v>0.11634907838483632</v>
      </c>
      <c r="P60" s="1586">
        <f t="shared" si="26"/>
        <v>0.12059443927170795</v>
      </c>
      <c r="Q60" s="1586">
        <f t="shared" si="26"/>
        <v>0.11899205449393956</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0.41119350100461716</v>
      </c>
      <c r="N61" s="1586">
        <f t="shared" si="27"/>
        <v>0.38444739620930724</v>
      </c>
      <c r="O61" s="1586">
        <f t="shared" si="27"/>
        <v>0.41885668218541078</v>
      </c>
      <c r="P61" s="1586">
        <f t="shared" si="27"/>
        <v>0.43413998137814858</v>
      </c>
      <c r="Q61" s="1586">
        <f t="shared" si="27"/>
        <v>0.42837139617818237</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0.2467161006027703</v>
      </c>
      <c r="N62" s="1856">
        <f t="shared" si="28"/>
        <v>0.23066843772558437</v>
      </c>
      <c r="O62" s="1856">
        <f t="shared" si="28"/>
        <v>0.25131400931124642</v>
      </c>
      <c r="P62" s="1856">
        <f t="shared" si="28"/>
        <v>0.26048398882688911</v>
      </c>
      <c r="Q62" s="1856">
        <f t="shared" si="28"/>
        <v>0.25702283770690937</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1657.68611369831</v>
      </c>
      <c r="N63" s="1313">
        <f t="shared" si="29"/>
        <v>560.52956122646299</v>
      </c>
      <c r="O63" s="1313">
        <f t="shared" si="29"/>
        <v>423.27261202873007</v>
      </c>
      <c r="P63" s="1313">
        <f t="shared" si="29"/>
        <v>339.30676711277351</v>
      </c>
      <c r="Q63" s="1313">
        <f t="shared" si="29"/>
        <v>334.57717333034361</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23.453397194373377</v>
      </c>
      <c r="N64" s="2174">
        <f>IF($N$9=0,0,N$63/$N$9)</f>
        <v>22.65864504917386</v>
      </c>
      <c r="O64" s="2174">
        <f>IF($O$9=0,0,O$63/$O$9)</f>
        <v>23.954307415321452</v>
      </c>
      <c r="P64" s="2174">
        <f>IF($P$9=0,0,P$63/$P$9)</f>
        <v>24.003025404129424</v>
      </c>
      <c r="Q64" s="2174">
        <f>IF($Q$9=0,0,Q$63/$Q$9)</f>
        <v>23.668447462531383</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0.39154252411307799</v>
      </c>
      <c r="N65" s="1615">
        <f t="shared" si="30"/>
        <v>0.36546201692215896</v>
      </c>
      <c r="O65" s="1615">
        <f t="shared" si="30"/>
        <v>0.3992384569220242</v>
      </c>
      <c r="P65" s="1615">
        <f t="shared" si="30"/>
        <v>0.41384526558843837</v>
      </c>
      <c r="Q65" s="1615">
        <f t="shared" si="30"/>
        <v>0.40807668038847211</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0.23492551446784682</v>
      </c>
      <c r="N66" s="1617">
        <f t="shared" si="30"/>
        <v>0.2192772101532954</v>
      </c>
      <c r="O66" s="1617">
        <f t="shared" si="30"/>
        <v>0.23954307415321449</v>
      </c>
      <c r="P66" s="1617">
        <f t="shared" si="30"/>
        <v>0.248307159353063</v>
      </c>
      <c r="Q66" s="1617">
        <f t="shared" si="30"/>
        <v>0.24484600823308325</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1076.9585437384799</v>
      </c>
      <c r="N68" s="1316">
        <f t="shared" si="31"/>
        <v>376.86497789500248</v>
      </c>
      <c r="O68" s="1316">
        <f t="shared" si="31"/>
        <v>269.25943893837245</v>
      </c>
      <c r="P68" s="1316">
        <f t="shared" si="31"/>
        <v>215.42527461336749</v>
      </c>
      <c r="Q68" s="1316">
        <f t="shared" si="31"/>
        <v>215.4088522917375</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0.25437570062027542</v>
      </c>
      <c r="N69" s="1487">
        <f t="shared" si="32"/>
        <v>0.24571377578637177</v>
      </c>
      <c r="O69" s="1487">
        <f t="shared" si="32"/>
        <v>0.25397041967399775</v>
      </c>
      <c r="P69" s="1487">
        <f t="shared" si="32"/>
        <v>0.26274963728383327</v>
      </c>
      <c r="Q69" s="1487">
        <f t="shared" si="32"/>
        <v>0.26272960732653428</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786.95381995983018</v>
      </c>
      <c r="N70" s="1313">
        <f t="shared" si="33"/>
        <v>255.8437708314606</v>
      </c>
      <c r="O70" s="1313">
        <f t="shared" si="33"/>
        <v>205.56973559035757</v>
      </c>
      <c r="P70" s="1313">
        <f t="shared" si="33"/>
        <v>165.12674249940605</v>
      </c>
      <c r="Q70" s="1313">
        <f t="shared" si="33"/>
        <v>160.41357103860605</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0.18587709849367653</v>
      </c>
      <c r="N71" s="1614">
        <f t="shared" si="34"/>
        <v>0.1668086519834058</v>
      </c>
      <c r="O71" s="1614">
        <f t="shared" si="34"/>
        <v>0.19389712845723217</v>
      </c>
      <c r="P71" s="1614">
        <f t="shared" si="34"/>
        <v>0.20140158472792147</v>
      </c>
      <c r="Q71" s="1614">
        <f t="shared" si="34"/>
        <v>0.19565302948525418</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18" activePane="bottomRight" state="frozen"/>
      <selection pane="bottomRight" activeCell="M44" sqref="M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6" activePane="bottomRight" state="frozen"/>
      <selection pane="topRight"/>
      <selection pane="bottomLeft"/>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1091</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1197</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HeuBoden</v>
      </c>
      <c r="N5" s="2699" t="str">
        <f>VLOOKUP(W$5,$S$4:$T$13,2)</f>
        <v>HeuBoden</v>
      </c>
      <c r="O5" s="2699">
        <f>VLOOKUP(X$5,$S$4:$T$13,2)</f>
        <v>0</v>
      </c>
      <c r="P5" s="2699">
        <f>VLOOKUP(Y$5,$S$4:$T$13,2)</f>
        <v>0</v>
      </c>
      <c r="Q5" s="2700">
        <f>VLOOKUP(Z$5,$S$4:$T$13,2)</f>
        <v>0</v>
      </c>
      <c r="R5" s="470"/>
      <c r="S5" s="2642">
        <v>2</v>
      </c>
      <c r="T5" s="2672" t="str">
        <f>Energ.!G$57</f>
        <v>Umtriebsweide</v>
      </c>
      <c r="U5" s="2643"/>
      <c r="V5" s="2639">
        <v>6</v>
      </c>
      <c r="W5" s="2118">
        <v>6</v>
      </c>
      <c r="X5" s="2118">
        <v>10</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50</v>
      </c>
      <c r="L6" s="1288"/>
      <c r="M6" s="853">
        <f>$K$6*M7/100</f>
        <v>30</v>
      </c>
      <c r="N6" s="854">
        <f>$K$6*N7/100</f>
        <v>20</v>
      </c>
      <c r="O6" s="854">
        <f>$K$6*O7/100</f>
        <v>0</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60</v>
      </c>
      <c r="N7" s="2675">
        <v>40</v>
      </c>
      <c r="O7" s="2675"/>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10</v>
      </c>
      <c r="L8" s="1224"/>
      <c r="M8" s="2646">
        <f>HLOOKUP(V$5,Energ.!$F$58:$N$66,Energ.!$A59)*100</f>
        <v>10</v>
      </c>
      <c r="N8" s="2647">
        <f>HLOOKUP(W$5,Energ.!$F$58:$N$66,Energ.!$A59)*100</f>
        <v>10</v>
      </c>
      <c r="O8" s="2647">
        <f>HLOOKUP(X$5,Energ.!$F$58:$N$66,Energ.!$A59)*100</f>
        <v>0</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0</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0</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1.8000000000000003</v>
      </c>
      <c r="L12" s="1224"/>
      <c r="M12" s="2655">
        <f>HLOOKUP(V$5,Energ.!$F$58:$N$66,Energ.!$A64)</f>
        <v>1.8</v>
      </c>
      <c r="N12" s="2656">
        <f>HLOOKUP(W$5,Energ.!$F$58:$N$66,Energ.!$A64)</f>
        <v>1.8</v>
      </c>
      <c r="O12" s="2656">
        <f>HLOOKUP(X$5,Energ.!$F$58:$N$66,Energ.!$A64)</f>
        <v>0</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1.6199999999999999</v>
      </c>
      <c r="L13" s="1231"/>
      <c r="M13" s="517">
        <f>M12*M11/100</f>
        <v>1.62</v>
      </c>
      <c r="N13" s="518">
        <f>N12*N11/100</f>
        <v>1.62</v>
      </c>
      <c r="O13" s="518">
        <f>O12*O11/100</f>
        <v>0</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45</v>
      </c>
      <c r="L14" s="1233"/>
      <c r="M14" s="865">
        <f>M6*(100-M8)/100</f>
        <v>27</v>
      </c>
      <c r="N14" s="866">
        <f>N6*(100-N8)/100</f>
        <v>18</v>
      </c>
      <c r="O14" s="866">
        <f>O6*(100-O8)/100</f>
        <v>0</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51.13636363636364</v>
      </c>
      <c r="L15" s="1233"/>
      <c r="M15" s="865">
        <f>IF(M10=0,0,M14/M10*100)</f>
        <v>30.681818181818183</v>
      </c>
      <c r="N15" s="866">
        <f>IF(N10=0,0,N14/N10*100)</f>
        <v>20.454545454545457</v>
      </c>
      <c r="O15" s="866">
        <f>IF(O10=0,0,O14/O10*100)</f>
        <v>0</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28.409090909090914</v>
      </c>
      <c r="L16" s="3348"/>
      <c r="M16" s="1793">
        <f>IF(V5&lt;4,0,IF(M12=0,0,M15/M12))</f>
        <v>17.045454545454547</v>
      </c>
      <c r="N16" s="1794">
        <f>IF(W5&lt;4,0,IF(N12=0,0,N15/N12))</f>
        <v>11.363636363636365</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42.75</v>
      </c>
      <c r="L17" s="1235"/>
      <c r="M17" s="865">
        <f>M14*(100-M9)/100</f>
        <v>25.65</v>
      </c>
      <c r="N17" s="870">
        <f>N14*(100-N9)/100</f>
        <v>17.100000000000001</v>
      </c>
      <c r="O17" s="870">
        <f>O14*(100-O9)/100</f>
        <v>0</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47.5</v>
      </c>
      <c r="L18" s="1235"/>
      <c r="M18" s="865">
        <f>IF(M11=0,0,M17/M11*100)</f>
        <v>28.499999999999996</v>
      </c>
      <c r="N18" s="870">
        <f>IF(N11=0,0,N17/N11*100)</f>
        <v>19</v>
      </c>
      <c r="O18" s="870">
        <f>IF(O11=0,0,O17/O11*100)</f>
        <v>0</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4.92</v>
      </c>
      <c r="L20" s="1238"/>
      <c r="M20" s="254">
        <v>5</v>
      </c>
      <c r="N20" s="255">
        <v>4.8</v>
      </c>
      <c r="O20" s="255"/>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8.2000000000000011</v>
      </c>
      <c r="L21" s="1238"/>
      <c r="M21" s="428">
        <f>IF($G21=0,0,M20/$G21)</f>
        <v>8.3333333333333339</v>
      </c>
      <c r="N21" s="429">
        <f>IF($G21=0,0,N20/$G21)</f>
        <v>8</v>
      </c>
      <c r="O21" s="429">
        <f>IF($G21=0,0,O20/$G21)</f>
        <v>0</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2103.3000000000002</v>
      </c>
      <c r="L22" s="1240"/>
      <c r="M22" s="385">
        <f t="shared" ref="M22:Q23" si="0">M$17*M20*10</f>
        <v>1282.5</v>
      </c>
      <c r="N22" s="387">
        <f t="shared" si="0"/>
        <v>820.8</v>
      </c>
      <c r="O22" s="387">
        <f t="shared" si="0"/>
        <v>0</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3505.5</v>
      </c>
      <c r="L23" s="1242"/>
      <c r="M23" s="386">
        <f t="shared" si="0"/>
        <v>2137.5</v>
      </c>
      <c r="N23" s="388">
        <f t="shared" si="0"/>
        <v>1368</v>
      </c>
      <c r="O23" s="388">
        <f t="shared" si="0"/>
        <v>0</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310</v>
      </c>
      <c r="M25" s="886">
        <f>$L25*M7/100</f>
        <v>186</v>
      </c>
      <c r="N25" s="870">
        <f>$L25*N7/100</f>
        <v>124</v>
      </c>
      <c r="O25" s="870">
        <f>$L25*O7/100</f>
        <v>0</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24</v>
      </c>
      <c r="C27" s="77"/>
      <c r="D27" s="79"/>
      <c r="E27" s="78"/>
      <c r="F27" s="78"/>
      <c r="G27" s="78"/>
      <c r="H27" s="434"/>
      <c r="I27" s="434"/>
      <c r="J27" s="434"/>
      <c r="K27" s="1245"/>
      <c r="L27" s="1246">
        <f>IF(B27=0,0,VLOOKUP(B27,Prämien!$C$8:$M$37,11))</f>
        <v>80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162</v>
      </c>
      <c r="N30" s="870">
        <f>$L30*N7/100</f>
        <v>108</v>
      </c>
      <c r="O30" s="870">
        <f>$L30*O7/100</f>
        <v>0</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360.51645000000008</v>
      </c>
      <c r="M34" s="894">
        <f>$L34*M$7/100</f>
        <v>216.30987000000005</v>
      </c>
      <c r="N34" s="895">
        <f>$L34*N$7/100</f>
        <v>144.20658000000003</v>
      </c>
      <c r="O34" s="895">
        <f>$L34*O$7/100</f>
        <v>0</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1.82</v>
      </c>
      <c r="I36" s="112">
        <v>-40</v>
      </c>
      <c r="J36" s="913"/>
      <c r="K36" s="1255">
        <f>H36*$K$14+I36</f>
        <v>41.900000000000006</v>
      </c>
      <c r="L36" s="1256">
        <f>K36*$F36</f>
        <v>149.58300000000003</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0.64</v>
      </c>
      <c r="I37" s="112"/>
      <c r="J37" s="913"/>
      <c r="K37" s="1255">
        <f>H37*$K$14+I37</f>
        <v>28.8</v>
      </c>
      <c r="L37" s="1256">
        <f>K37*$F37</f>
        <v>74.71296000000001</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2.41</v>
      </c>
      <c r="I38" s="112"/>
      <c r="J38" s="913"/>
      <c r="K38" s="1255">
        <f>H38*$K$14+I38</f>
        <v>108.45</v>
      </c>
      <c r="L38" s="1256">
        <f>K38*$F38</f>
        <v>100.66329</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v>
      </c>
      <c r="I39" s="115"/>
      <c r="J39" s="920"/>
      <c r="K39" s="1257">
        <f>H39*$K$14+I39</f>
        <v>18</v>
      </c>
      <c r="L39" s="1258">
        <f>K39*$F39</f>
        <v>35.557199999999995</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115.84719005556994</v>
      </c>
      <c r="M43" s="931">
        <f>SUM(Z46:Z56)</f>
        <v>60.681779184701966</v>
      </c>
      <c r="N43" s="931">
        <f>SUM(AA46:AA56)</f>
        <v>55.16541087086798</v>
      </c>
      <c r="O43" s="931">
        <f>SUM(AB46:AB56)</f>
        <v>0</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0.5</v>
      </c>
      <c r="N46" s="260">
        <v>0.5</v>
      </c>
      <c r="O46" s="260"/>
      <c r="P46" s="260"/>
      <c r="Q46" s="261"/>
      <c r="R46" s="449"/>
      <c r="S46" s="449"/>
      <c r="T46" s="406">
        <f t="shared" ref="T46:X56" si="3">IF(M46&lt;&gt;0,M46*$H46,0)</f>
        <v>0.43</v>
      </c>
      <c r="U46" s="407">
        <f t="shared" si="3"/>
        <v>0.43</v>
      </c>
      <c r="V46" s="407">
        <f t="shared" si="3"/>
        <v>0</v>
      </c>
      <c r="W46" s="407">
        <f t="shared" si="3"/>
        <v>0</v>
      </c>
      <c r="X46" s="408">
        <f t="shared" si="3"/>
        <v>0</v>
      </c>
      <c r="Y46" s="434"/>
      <c r="Z46" s="406">
        <f t="shared" ref="Z46:AD56" si="4">IF(M46&lt;&gt;0,M46*$I46,0)</f>
        <v>5.1879502519999985</v>
      </c>
      <c r="AA46" s="407">
        <f t="shared" si="4"/>
        <v>5.1879502519999985</v>
      </c>
      <c r="AB46" s="407">
        <f t="shared" si="4"/>
        <v>0</v>
      </c>
      <c r="AC46" s="407">
        <f t="shared" si="4"/>
        <v>0</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0.5</v>
      </c>
      <c r="N47" s="260">
        <v>0.5</v>
      </c>
      <c r="O47" s="260"/>
      <c r="P47" s="260"/>
      <c r="Q47" s="261"/>
      <c r="R47" s="449"/>
      <c r="S47" s="449"/>
      <c r="T47" s="406">
        <f t="shared" si="3"/>
        <v>0.24</v>
      </c>
      <c r="U47" s="407">
        <f t="shared" si="3"/>
        <v>0.24</v>
      </c>
      <c r="V47" s="407">
        <f t="shared" si="3"/>
        <v>0</v>
      </c>
      <c r="W47" s="407">
        <f t="shared" si="3"/>
        <v>0</v>
      </c>
      <c r="X47" s="408">
        <f t="shared" si="3"/>
        <v>0</v>
      </c>
      <c r="Y47" s="434"/>
      <c r="Z47" s="406">
        <f t="shared" si="4"/>
        <v>4.0792602592000007</v>
      </c>
      <c r="AA47" s="407">
        <f t="shared" si="4"/>
        <v>4.0792602592000007</v>
      </c>
      <c r="AB47" s="407">
        <f t="shared" si="4"/>
        <v>0</v>
      </c>
      <c r="AC47" s="407">
        <f t="shared" si="4"/>
        <v>0</v>
      </c>
      <c r="AD47" s="408">
        <f t="shared" si="4"/>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2</v>
      </c>
      <c r="K50" s="1266">
        <f t="shared" si="1"/>
        <v>1.08</v>
      </c>
      <c r="L50" s="1256">
        <f t="shared" si="2"/>
        <v>18.439855952000002</v>
      </c>
      <c r="M50" s="259">
        <v>1</v>
      </c>
      <c r="N50" s="260">
        <v>1</v>
      </c>
      <c r="O50" s="260"/>
      <c r="P50" s="260"/>
      <c r="Q50" s="261"/>
      <c r="R50" s="449"/>
      <c r="S50" s="449"/>
      <c r="T50" s="406">
        <f t="shared" si="3"/>
        <v>0.54</v>
      </c>
      <c r="U50" s="407">
        <f t="shared" si="3"/>
        <v>0.54</v>
      </c>
      <c r="V50" s="407">
        <f t="shared" si="3"/>
        <v>0</v>
      </c>
      <c r="W50" s="407">
        <f t="shared" si="3"/>
        <v>0</v>
      </c>
      <c r="X50" s="408">
        <f t="shared" si="3"/>
        <v>0</v>
      </c>
      <c r="Y50" s="434"/>
      <c r="Z50" s="406">
        <f t="shared" si="4"/>
        <v>9.219927976000001</v>
      </c>
      <c r="AA50" s="407">
        <f t="shared" si="4"/>
        <v>9.219927976000001</v>
      </c>
      <c r="AB50" s="407">
        <f t="shared" si="4"/>
        <v>0</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6</v>
      </c>
      <c r="K51" s="1266">
        <f t="shared" si="1"/>
        <v>2.0999999999999996</v>
      </c>
      <c r="L51" s="1256">
        <f t="shared" si="2"/>
        <v>36.536338439999994</v>
      </c>
      <c r="M51" s="259">
        <v>3</v>
      </c>
      <c r="N51" s="260">
        <v>3</v>
      </c>
      <c r="O51" s="260"/>
      <c r="P51" s="260"/>
      <c r="Q51" s="261"/>
      <c r="R51" s="449"/>
      <c r="S51" s="449"/>
      <c r="T51" s="406">
        <f t="shared" si="3"/>
        <v>1.0499999999999998</v>
      </c>
      <c r="U51" s="407">
        <f t="shared" si="3"/>
        <v>1.0499999999999998</v>
      </c>
      <c r="V51" s="407">
        <f t="shared" si="3"/>
        <v>0</v>
      </c>
      <c r="W51" s="407">
        <f t="shared" si="3"/>
        <v>0</v>
      </c>
      <c r="X51" s="408">
        <f t="shared" si="3"/>
        <v>0</v>
      </c>
      <c r="Y51" s="434"/>
      <c r="Z51" s="406">
        <f t="shared" si="4"/>
        <v>18.268169219999997</v>
      </c>
      <c r="AA51" s="407">
        <f t="shared" si="4"/>
        <v>18.268169219999997</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2</v>
      </c>
      <c r="K52" s="1266"/>
      <c r="L52" s="1256"/>
      <c r="M52" s="259">
        <v>1</v>
      </c>
      <c r="N52" s="260">
        <v>1</v>
      </c>
      <c r="O52" s="260"/>
      <c r="P52" s="260"/>
      <c r="Q52" s="261"/>
      <c r="R52" s="449"/>
      <c r="S52" s="449"/>
      <c r="T52" s="406">
        <f t="shared" si="3"/>
        <v>0.26</v>
      </c>
      <c r="U52" s="407">
        <f t="shared" si="3"/>
        <v>0.26</v>
      </c>
      <c r="V52" s="407">
        <f t="shared" si="3"/>
        <v>0</v>
      </c>
      <c r="W52" s="407">
        <f t="shared" si="3"/>
        <v>0</v>
      </c>
      <c r="X52" s="408">
        <f t="shared" si="3"/>
        <v>0</v>
      </c>
      <c r="Y52" s="434"/>
      <c r="Z52" s="406">
        <f t="shared" si="4"/>
        <v>7.3773665359999994</v>
      </c>
      <c r="AA52" s="407">
        <f t="shared" si="4"/>
        <v>7.3773665359999994</v>
      </c>
      <c r="AB52" s="407">
        <f t="shared" si="4"/>
        <v>0</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2.2233201581027671</v>
      </c>
      <c r="K53" s="1266">
        <f t="shared" si="1"/>
        <v>1.5118577075098818</v>
      </c>
      <c r="L53" s="1256">
        <f t="shared" si="2"/>
        <v>27.581841569169963</v>
      </c>
      <c r="M53" s="259">
        <f>M15/23</f>
        <v>1.3339920948616601</v>
      </c>
      <c r="N53" s="260">
        <f t="shared" ref="N53:Q53" si="6">N15/23</f>
        <v>0.8893280632411068</v>
      </c>
      <c r="O53" s="260">
        <f t="shared" si="6"/>
        <v>0</v>
      </c>
      <c r="P53" s="260">
        <f t="shared" si="6"/>
        <v>0</v>
      </c>
      <c r="Q53" s="261">
        <f t="shared" si="6"/>
        <v>0</v>
      </c>
      <c r="R53" s="449"/>
      <c r="S53" s="449"/>
      <c r="T53" s="406">
        <f t="shared" si="3"/>
        <v>0.90711462450592895</v>
      </c>
      <c r="U53" s="407">
        <f t="shared" si="3"/>
        <v>0.60474308300395263</v>
      </c>
      <c r="V53" s="407">
        <f t="shared" si="3"/>
        <v>0</v>
      </c>
      <c r="W53" s="407">
        <f t="shared" si="3"/>
        <v>0</v>
      </c>
      <c r="X53" s="408">
        <f t="shared" si="3"/>
        <v>0</v>
      </c>
      <c r="Y53" s="434"/>
      <c r="Z53" s="406">
        <f t="shared" si="4"/>
        <v>16.549104941501977</v>
      </c>
      <c r="AA53" s="407">
        <f t="shared" si="4"/>
        <v>11.032736627667985</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6.5518577075098801</v>
      </c>
      <c r="L57" s="1270"/>
      <c r="M57" s="944">
        <f>SUM(T46:T56)</f>
        <v>3.4271146245059283</v>
      </c>
      <c r="N57" s="945">
        <f>SUM(U46:U56)</f>
        <v>3.1247430830039522</v>
      </c>
      <c r="O57" s="945">
        <f>SUM(V46:V56)</f>
        <v>0</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50</v>
      </c>
      <c r="H58" s="800" t="s">
        <v>487</v>
      </c>
      <c r="I58" s="800"/>
      <c r="J58" s="950"/>
      <c r="K58" s="1271">
        <f>SUM(M58:Q58)</f>
        <v>9.8277865612648192</v>
      </c>
      <c r="L58" s="1272"/>
      <c r="M58" s="951">
        <f>M57+M57*$G$58/100</f>
        <v>5.140671936758892</v>
      </c>
      <c r="N58" s="952">
        <f>N57+N57*$G$58/100</f>
        <v>4.6871146245059281</v>
      </c>
      <c r="O58" s="952">
        <f>O57+O57*$G$58/100</f>
        <v>0</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135.22727272727272</v>
      </c>
      <c r="M59" s="886">
        <f>SUM(T61:T63)</f>
        <v>81.136363636363626</v>
      </c>
      <c r="N59" s="870">
        <f>SUM(U61:U63)</f>
        <v>54.090909090909093</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7">IF(N61&lt;&gt;0,N61*$H61,0)</f>
        <v>0</v>
      </c>
      <c r="V61" s="494">
        <f t="shared" si="7"/>
        <v>0</v>
      </c>
      <c r="W61" s="494">
        <f t="shared" si="7"/>
        <v>0</v>
      </c>
      <c r="X61" s="494">
        <f t="shared" si="7"/>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t="s">
        <v>1092</v>
      </c>
      <c r="E62" s="2078"/>
      <c r="F62" s="2078"/>
      <c r="G62" s="2243">
        <v>6</v>
      </c>
      <c r="H62" s="755">
        <f>G62*(100+$H$59)/100</f>
        <v>7.14</v>
      </c>
      <c r="I62" s="756"/>
      <c r="J62" s="2070">
        <f>SUM(M62:Q62)</f>
        <v>18.939393939393938</v>
      </c>
      <c r="K62" s="1718"/>
      <c r="L62" s="1284">
        <f>J62*H62</f>
        <v>135.22727272727272</v>
      </c>
      <c r="M62" s="2244">
        <f>M15/2.7</f>
        <v>11.363636363636363</v>
      </c>
      <c r="N62" s="2245">
        <f t="shared" ref="N62:Q62" si="8">N15/2.7</f>
        <v>7.5757575757575761</v>
      </c>
      <c r="O62" s="2245">
        <f t="shared" si="8"/>
        <v>0</v>
      </c>
      <c r="P62" s="2245">
        <f t="shared" si="8"/>
        <v>0</v>
      </c>
      <c r="Q62" s="2246">
        <f t="shared" si="8"/>
        <v>0</v>
      </c>
      <c r="R62" s="449"/>
      <c r="S62" s="449"/>
      <c r="T62" s="494">
        <f>IF(M62&lt;&gt;0,M62*$H62,0)</f>
        <v>81.136363636363626</v>
      </c>
      <c r="U62" s="494">
        <f t="shared" si="7"/>
        <v>54.090909090909093</v>
      </c>
      <c r="V62" s="494">
        <f t="shared" si="7"/>
        <v>0</v>
      </c>
      <c r="W62" s="494">
        <f t="shared" si="7"/>
        <v>0</v>
      </c>
      <c r="X62" s="494">
        <f t="shared" si="7"/>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9">SUM(L69:L70)</f>
        <v>0</v>
      </c>
      <c r="M67" s="886">
        <f t="shared" si="9"/>
        <v>0</v>
      </c>
      <c r="N67" s="870">
        <f t="shared" si="9"/>
        <v>0</v>
      </c>
      <c r="O67" s="870">
        <f t="shared" si="9"/>
        <v>0</v>
      </c>
      <c r="P67" s="870">
        <f t="shared" si="9"/>
        <v>0</v>
      </c>
      <c r="Q67" s="871">
        <f t="shared" si="9"/>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28.409090909090914</v>
      </c>
      <c r="L77" s="2121">
        <f t="shared" si="10"/>
        <v>0</v>
      </c>
      <c r="M77" s="2121">
        <f t="shared" si="10"/>
        <v>17.045454545454547</v>
      </c>
      <c r="N77" s="2121">
        <f t="shared" si="10"/>
        <v>11.363636363636365</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2.9839249999999997</v>
      </c>
      <c r="N78" s="2121">
        <f>HLOOKUP(W$5,Energ.!$F$58:$N$66,Energ.!$A$65)</f>
        <v>2.9839249999999997</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84.770596590909093</v>
      </c>
      <c r="L79" s="2121"/>
      <c r="M79" s="2121">
        <f>M78*M16</f>
        <v>50.862357954545452</v>
      </c>
      <c r="N79" s="2121">
        <f>N78*N16</f>
        <v>33.908238636363635</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2881"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42882"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42883"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42884"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42885"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042886"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42887"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42888"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42889"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042890"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042891"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042892"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042893"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042894"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042895"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042896"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42897"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42898"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42899"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42900"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42901"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6" activePane="bottomRight" state="frozen"/>
      <selection pane="topRight"/>
      <selection pane="bottomLeft"/>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 2(a) '!K2</f>
        <v>Wiese 2xHeu</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'Heu 2(a) '!H3</f>
        <v>2x Heu, Ballenpressen in Lohn, ohne Trocknungskosten, keine Übersaat</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'Heu 2(a) '!M5</f>
        <v>HeuBoden</v>
      </c>
      <c r="O5" s="2679" t="str">
        <f>'Heu 2(a) '!N5</f>
        <v>HeuBoden</v>
      </c>
      <c r="P5" s="2679">
        <f>'Heu 2(a) '!O5</f>
        <v>0</v>
      </c>
      <c r="Q5" s="2679">
        <f>'Heu 2(a) '!P5</f>
        <v>0</v>
      </c>
      <c r="R5" s="2680">
        <f>'Heu 2(a) '!Q5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'Heu 2(a) '!K6</f>
        <v>50</v>
      </c>
      <c r="N6" s="1361">
        <f>'Heu 2(a) '!M6</f>
        <v>30</v>
      </c>
      <c r="O6" s="1361">
        <f>'Heu 2(a) '!N6</f>
        <v>20</v>
      </c>
      <c r="P6" s="1361">
        <f>'Heu 2(a) '!O6</f>
        <v>0</v>
      </c>
      <c r="Q6" s="1361">
        <f>'Heu 2(a) '!P6</f>
        <v>0</v>
      </c>
      <c r="R6" s="1362">
        <f>'Heu 2(a) '!Q6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'Heu 2(a) '!K14</f>
        <v>45</v>
      </c>
      <c r="N7" s="391">
        <f>'Heu 2(a) '!M14</f>
        <v>27</v>
      </c>
      <c r="O7" s="391">
        <f>'Heu 2(a) '!N14</f>
        <v>18</v>
      </c>
      <c r="P7" s="391">
        <f>'Heu 2(a) '!O14</f>
        <v>0</v>
      </c>
      <c r="Q7" s="391">
        <f>'Heu 2(a) '!P14</f>
        <v>0</v>
      </c>
      <c r="R7" s="1299">
        <f>'Heu 2(a) '!Q14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'Heu 2(a) '!K15</f>
        <v>51.13636363636364</v>
      </c>
      <c r="N8" s="404">
        <f>'Heu 2(a) '!M15</f>
        <v>30.681818181818183</v>
      </c>
      <c r="O8" s="404">
        <f>'Heu 2(a) '!N15</f>
        <v>20.454545454545457</v>
      </c>
      <c r="P8" s="404">
        <f>'Heu 2(a) '!O15</f>
        <v>0</v>
      </c>
      <c r="Q8" s="404">
        <f>'Heu 2(a) '!P15</f>
        <v>0</v>
      </c>
      <c r="R8" s="1201">
        <f>'Heu 2(a) '!Q15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'Heu 2(a) '!K17</f>
        <v>42.75</v>
      </c>
      <c r="N9" s="391">
        <f>'Heu 2(a) '!M17</f>
        <v>25.65</v>
      </c>
      <c r="O9" s="391">
        <f>'Heu 2(a) '!N17</f>
        <v>17.100000000000001</v>
      </c>
      <c r="P9" s="391">
        <f>'Heu 2(a) '!O17</f>
        <v>0</v>
      </c>
      <c r="Q9" s="391">
        <f>'Heu 2(a) '!P17</f>
        <v>0</v>
      </c>
      <c r="R9" s="1299">
        <f>'Heu 2(a) '!Q17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'Heu 2(a) '!K18</f>
        <v>47.5</v>
      </c>
      <c r="N10" s="1303">
        <f>'Heu 2(a) '!M18</f>
        <v>28.499999999999996</v>
      </c>
      <c r="O10" s="1303">
        <f>'Heu 2(a) '!N18</f>
        <v>19</v>
      </c>
      <c r="P10" s="1303">
        <f>'Heu 2(a) '!O18</f>
        <v>0</v>
      </c>
      <c r="Q10" s="1303">
        <f>'Heu 2(a) '!P18</f>
        <v>0</v>
      </c>
      <c r="R10" s="1300">
        <f>'Heu 2(a) '!Q18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'Heu 2(a) '!K19</f>
        <v>0</v>
      </c>
      <c r="N11" s="1551">
        <f>'Heu 2(a) '!L19</f>
        <v>0</v>
      </c>
      <c r="O11" s="1551">
        <f>'Heu 2(a) '!M19</f>
        <v>0</v>
      </c>
      <c r="P11" s="1551">
        <f>'Heu 2(a) '!N19</f>
        <v>0</v>
      </c>
      <c r="Q11" s="1551">
        <f>'Heu 2(a) '!O19</f>
        <v>0</v>
      </c>
      <c r="R11" s="1552">
        <f>'Heu 2(a) '!P19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'Heu 2(a) '!K22</f>
        <v>2103.3000000000002</v>
      </c>
      <c r="N12" s="967">
        <f>'Heu 2(a) '!M22</f>
        <v>1282.5</v>
      </c>
      <c r="O12" s="967">
        <f>'Heu 2(a) '!N22</f>
        <v>820.8</v>
      </c>
      <c r="P12" s="967">
        <f>'Heu 2(a) '!O22</f>
        <v>0</v>
      </c>
      <c r="Q12" s="967">
        <f>'Heu 2(a) '!P22</f>
        <v>0</v>
      </c>
      <c r="R12" s="1302">
        <f>'Heu 2(a) '!Q22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'Heu 2(a) '!K23</f>
        <v>3505.5</v>
      </c>
      <c r="N13" s="1521">
        <f>'Heu 2(a) '!M23</f>
        <v>2137.5</v>
      </c>
      <c r="O13" s="1521">
        <f>'Heu 2(a) '!N23</f>
        <v>1368</v>
      </c>
      <c r="P13" s="1521">
        <f>'Heu 2(a) '!O23</f>
        <v>0</v>
      </c>
      <c r="Q13" s="1521">
        <f>'Heu 2(a) '!P23</f>
        <v>0</v>
      </c>
      <c r="R13" s="1523">
        <f>'Heu 2(a) '!Q23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162</v>
      </c>
      <c r="O15" s="2137">
        <f t="shared" si="0"/>
        <v>108</v>
      </c>
      <c r="P15" s="2136">
        <f t="shared" si="0"/>
        <v>0</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310</v>
      </c>
      <c r="N16" s="2139">
        <f t="shared" si="1"/>
        <v>186</v>
      </c>
      <c r="O16" s="1553">
        <f t="shared" si="1"/>
        <v>124</v>
      </c>
      <c r="P16" s="2139">
        <f t="shared" si="1"/>
        <v>0</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580</v>
      </c>
      <c r="N17" s="2133">
        <f t="shared" si="2"/>
        <v>348</v>
      </c>
      <c r="O17" s="1521">
        <f t="shared" si="2"/>
        <v>232</v>
      </c>
      <c r="P17" s="2133">
        <f t="shared" si="2"/>
        <v>0</v>
      </c>
      <c r="Q17" s="1521">
        <f t="shared" si="2"/>
        <v>0</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'Heu 2(a) '!L32</f>
        <v>0</v>
      </c>
      <c r="N19" s="1527">
        <f>'Heu 2(a) '!M32</f>
        <v>0</v>
      </c>
      <c r="O19" s="1527">
        <f>'Heu 2(a) '!N32</f>
        <v>0</v>
      </c>
      <c r="P19" s="1527">
        <f>'Heu 2(a) '!O32</f>
        <v>0</v>
      </c>
      <c r="Q19" s="1527">
        <f>'Heu 2(a) '!P32</f>
        <v>0</v>
      </c>
      <c r="R19" s="1529">
        <f>'Heu 2(a) '!Q32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'Heu 2(a) '!L34</f>
        <v>360.51645000000008</v>
      </c>
      <c r="N20" s="235">
        <f>'Heu 2(a) '!M34</f>
        <v>216.30987000000005</v>
      </c>
      <c r="O20" s="235">
        <f>'Heu 2(a) '!N34</f>
        <v>144.20658000000003</v>
      </c>
      <c r="P20" s="235">
        <f>'Heu 2(a) '!O34</f>
        <v>0</v>
      </c>
      <c r="Q20" s="235">
        <f>'Heu 2(a) '!P34</f>
        <v>0</v>
      </c>
      <c r="R20" s="1192">
        <f>'Heu 2(a) '!Q34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'Heu 2(a) '!L40</f>
        <v>0</v>
      </c>
      <c r="N21" s="235">
        <f>'Heu 2(a) '!M40</f>
        <v>0</v>
      </c>
      <c r="O21" s="235">
        <f>'Heu 2(a) '!N40</f>
        <v>0</v>
      </c>
      <c r="P21" s="235">
        <f>'Heu 2(a) '!O40</f>
        <v>0</v>
      </c>
      <c r="Q21" s="235">
        <f>'Heu 2(a) '!P40</f>
        <v>0</v>
      </c>
      <c r="R21" s="1192">
        <f>'Heu 2(a) '!Q40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'Heu 2(a) '!L67</f>
        <v>0</v>
      </c>
      <c r="N23" s="235">
        <f>'Heu 2(a) '!M67</f>
        <v>0</v>
      </c>
      <c r="O23" s="235">
        <f>'Heu 2(a) '!N67</f>
        <v>0</v>
      </c>
      <c r="P23" s="235">
        <f>'Heu 2(a) '!O67</f>
        <v>0</v>
      </c>
      <c r="Q23" s="235">
        <f>'Heu 2(a) '!P67</f>
        <v>0</v>
      </c>
      <c r="R23" s="1192">
        <f>'Heu 2(a) '!Q67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'Heu 2(a) '!L43</f>
        <v>115.84719005556994</v>
      </c>
      <c r="N24" s="235">
        <f>'Heu 2(a) '!M43</f>
        <v>60.681779184701966</v>
      </c>
      <c r="O24" s="235">
        <f>'Heu 2(a) '!N43</f>
        <v>55.16541087086798</v>
      </c>
      <c r="P24" s="235">
        <f>'Heu 2(a) '!O43</f>
        <v>0</v>
      </c>
      <c r="Q24" s="235">
        <f>'Heu 2(a) '!P43</f>
        <v>0</v>
      </c>
      <c r="R24" s="1192">
        <f>'Heu 2(a) '!Q43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'Heu 2(a) '!L59</f>
        <v>135.22727272727272</v>
      </c>
      <c r="N25" s="235">
        <f>'Heu 2(a) '!M59</f>
        <v>81.136363636363626</v>
      </c>
      <c r="O25" s="235">
        <f>'Heu 2(a) '!N59</f>
        <v>54.090909090909093</v>
      </c>
      <c r="P25" s="235">
        <f>'Heu 2(a) '!O59</f>
        <v>0</v>
      </c>
      <c r="Q25" s="235">
        <f>'Heu 2(a) '!P59</f>
        <v>0</v>
      </c>
      <c r="R25" s="1192">
        <f>'Heu 2(a) '!Q59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'Heu 2(a) '!L64</f>
        <v>0</v>
      </c>
      <c r="N26" s="1437">
        <f>'Heu 2(a) '!M64</f>
        <v>0</v>
      </c>
      <c r="O26" s="1437">
        <f>'Heu 2(a) '!N64</f>
        <v>0</v>
      </c>
      <c r="P26" s="1437">
        <f>'Heu 2(a) '!O64</f>
        <v>0</v>
      </c>
      <c r="Q26" s="1437">
        <f>'Heu 2(a) '!P64</f>
        <v>0</v>
      </c>
      <c r="R26" s="1439">
        <f>'Heu 2(a) '!Q64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611.59091278284279</v>
      </c>
      <c r="N27" s="1782">
        <f t="shared" si="4"/>
        <v>358.12801282106562</v>
      </c>
      <c r="O27" s="1782">
        <f t="shared" si="4"/>
        <v>253.46289996177711</v>
      </c>
      <c r="P27" s="1782">
        <f t="shared" si="4"/>
        <v>0</v>
      </c>
      <c r="Q27" s="1782">
        <f t="shared" si="4"/>
        <v>0</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-611.59091278284279</v>
      </c>
      <c r="N28" s="1321">
        <f t="shared" si="5"/>
        <v>-358.12801282106562</v>
      </c>
      <c r="O28" s="1321">
        <f t="shared" si="5"/>
        <v>-253.46289996177711</v>
      </c>
      <c r="P28" s="1321">
        <f t="shared" si="5"/>
        <v>0</v>
      </c>
      <c r="Q28" s="1321">
        <f t="shared" si="5"/>
        <v>0</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-0.29077683296859352</v>
      </c>
      <c r="N29" s="1377">
        <f t="shared" si="6"/>
        <v>-0.27924211526009013</v>
      </c>
      <c r="O29" s="1377">
        <f t="shared" si="6"/>
        <v>-0.30879982938813005</v>
      </c>
      <c r="P29" s="1377">
        <f t="shared" si="6"/>
        <v>0</v>
      </c>
      <c r="Q29" s="1377">
        <f t="shared" si="6"/>
        <v>0</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580</v>
      </c>
      <c r="N30" s="1553">
        <f t="shared" si="7"/>
        <v>348</v>
      </c>
      <c r="O30" s="1553">
        <f t="shared" si="7"/>
        <v>232</v>
      </c>
      <c r="P30" s="1553">
        <f t="shared" si="7"/>
        <v>0</v>
      </c>
      <c r="Q30" s="1553">
        <f t="shared" si="7"/>
        <v>0</v>
      </c>
      <c r="R30" s="1299">
        <f t="shared" si="7"/>
        <v>0</v>
      </c>
      <c r="T30" s="2112" t="s">
        <v>565</v>
      </c>
      <c r="U30" s="2115">
        <f>'Heu 2(a) '!L25</f>
        <v>310</v>
      </c>
      <c r="V30" s="2115">
        <f>'Heu 2(a) '!M25</f>
        <v>186</v>
      </c>
      <c r="W30" s="2115">
        <f>'Heu 2(a) '!N25</f>
        <v>124</v>
      </c>
      <c r="X30" s="2115">
        <f>'Heu 2(a) '!O25</f>
        <v>0</v>
      </c>
      <c r="Y30" s="2115">
        <f>'Heu 2(a) '!P25</f>
        <v>0</v>
      </c>
      <c r="Z30" s="2115">
        <f>'Heu 2(a) '!Q25</f>
        <v>0</v>
      </c>
      <c r="AA30">
        <f>'Heu 2(a) '!R25+'Heu 2(a) '!R30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M27*'Heu 2(a) '!$L$72*'Heu 2(a) '!$Q$72/12/100</f>
        <v>3.8224432048927679</v>
      </c>
      <c r="N31" s="1437">
        <f>N27*'Heu 2(a) '!$L$72*'Heu 2(a) '!$Q$72/12/100</f>
        <v>2.2383000801316602</v>
      </c>
      <c r="O31" s="1437">
        <f>O27*'Heu 2(a) '!$L$72*'Heu 2(a) '!$Q$72/12/100</f>
        <v>1.5841431247611069</v>
      </c>
      <c r="P31" s="1437">
        <f>P27*'Heu 2(a) '!$L$72*'Heu 2(a) '!$Q$72/12/100</f>
        <v>0</v>
      </c>
      <c r="Q31" s="1437">
        <f>Q27*'Heu 2(a) '!$L$72*'Heu 2(a) '!$Q$72/12/100</f>
        <v>0</v>
      </c>
      <c r="R31" s="1439">
        <f>R27*'Heu 2(a) '!$L$72*'Heu 2(a) '!$Q$72/12/100</f>
        <v>0</v>
      </c>
      <c r="T31" s="2112" t="s">
        <v>564</v>
      </c>
      <c r="U31" s="2115">
        <f>'Heu 2(a) '!L30</f>
        <v>270</v>
      </c>
      <c r="V31" s="2115">
        <f>'Heu 2(a) '!M30</f>
        <v>162</v>
      </c>
      <c r="W31" s="2115">
        <f>'Heu 2(a) '!N30</f>
        <v>108</v>
      </c>
      <c r="X31" s="2115">
        <f>'Heu 2(a) '!O30</f>
        <v>0</v>
      </c>
      <c r="Y31" s="2115">
        <f>'Heu 2(a) '!P30</f>
        <v>0</v>
      </c>
      <c r="Z31" s="2115">
        <f>'Heu 2(a) '!Q30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-35.413355987735564</v>
      </c>
      <c r="N32" s="1313">
        <f t="shared" si="8"/>
        <v>-12.366312901197285</v>
      </c>
      <c r="O32" s="1313">
        <f t="shared" si="8"/>
        <v>-23.047043086538217</v>
      </c>
      <c r="P32" s="1313">
        <f t="shared" si="8"/>
        <v>0</v>
      </c>
      <c r="Q32" s="1313">
        <f t="shared" si="8"/>
        <v>0</v>
      </c>
      <c r="R32" s="1320">
        <f t="shared" si="8"/>
        <v>0</v>
      </c>
      <c r="S32" s="246"/>
      <c r="U32" s="371">
        <f t="shared" ref="U32:Z32" si="9">U30+U31</f>
        <v>580</v>
      </c>
      <c r="V32" s="371">
        <f t="shared" si="9"/>
        <v>348</v>
      </c>
      <c r="W32" s="371">
        <f t="shared" si="9"/>
        <v>232</v>
      </c>
      <c r="X32" s="371">
        <f t="shared" si="9"/>
        <v>0</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-1.6837044638299607E-2</v>
      </c>
      <c r="N33" s="1199">
        <f t="shared" si="10"/>
        <v>-9.642349240699637E-3</v>
      </c>
      <c r="O33" s="1199">
        <f t="shared" si="10"/>
        <v>-2.8078756197049488E-2</v>
      </c>
      <c r="P33" s="1199">
        <f t="shared" si="10"/>
        <v>0</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-1.0102226782979765E-2</v>
      </c>
      <c r="N34" s="1599">
        <f t="shared" si="11"/>
        <v>-5.7854095444197819E-3</v>
      </c>
      <c r="O34" s="1599">
        <f t="shared" si="11"/>
        <v>-1.6847253718229691E-2</v>
      </c>
      <c r="P34" s="1599">
        <f t="shared" si="11"/>
        <v>0</v>
      </c>
      <c r="Q34" s="1599">
        <f t="shared" si="11"/>
        <v>0</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'Heu 2(a) '!K58</f>
        <v>9.8277865612648192</v>
      </c>
      <c r="N36" s="1772">
        <f>'Heu 2(a) '!M58</f>
        <v>5.140671936758892</v>
      </c>
      <c r="O36" s="1772">
        <f>'Heu 2(a) '!N58</f>
        <v>4.6871146245059281</v>
      </c>
      <c r="P36" s="1772">
        <f>'Heu 2(a) '!O58</f>
        <v>0</v>
      </c>
      <c r="Q36" s="1772">
        <f>'Heu 2(a) '!P58</f>
        <v>0</v>
      </c>
      <c r="R36" s="1773">
        <f>'Heu 2(a) '!Q58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'Heu 2(a) '!K16</f>
        <v>28.409090909090914</v>
      </c>
      <c r="N37" s="1775">
        <f>'Heu 2(a) '!M16</f>
        <v>17.045454545454547</v>
      </c>
      <c r="O37" s="1775">
        <f>'Heu 2(a) '!N16</f>
        <v>11.363636363636365</v>
      </c>
      <c r="P37" s="1775">
        <f>'Heu 2(a) '!O16</f>
        <v>0</v>
      </c>
      <c r="Q37" s="1775">
        <f>'Heu 2(a) '!P16</f>
        <v>0</v>
      </c>
      <c r="R37" s="1776">
        <f>'Heu 2(a) '!Q16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'Heu 2(a) '!M78</f>
        <v>2.9839249999999997</v>
      </c>
      <c r="O38" s="1565">
        <f>'Heu 2(a) '!N78</f>
        <v>2.9839249999999997</v>
      </c>
      <c r="P38" s="1565">
        <f>'Heu 2(a) '!O78</f>
        <v>0</v>
      </c>
      <c r="Q38" s="1565">
        <f>'Heu 2(a) '!P78</f>
        <v>0</v>
      </c>
      <c r="R38" s="1566">
        <f>'Heu 2(a) '!Q78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162.15847826086951</v>
      </c>
      <c r="N39" s="235">
        <f t="shared" si="13"/>
        <v>84.821086956521725</v>
      </c>
      <c r="O39" s="235">
        <f t="shared" si="13"/>
        <v>77.337391304347818</v>
      </c>
      <c r="P39" s="235">
        <f t="shared" si="13"/>
        <v>0</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84.770596590909093</v>
      </c>
      <c r="N40" s="235">
        <f>N37*N38</f>
        <v>50.862357954545452</v>
      </c>
      <c r="O40" s="235">
        <f>O37*O38</f>
        <v>33.908238636363635</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Maschinen!S43</f>
        <v>312.80863780303025</v>
      </c>
      <c r="N41" s="235">
        <f>N$6/$M$6*$M$41</f>
        <v>187.68518268181813</v>
      </c>
      <c r="O41" s="235">
        <f>O$6/$M$6*$M$41</f>
        <v>125.1234551212121</v>
      </c>
      <c r="P41" s="235">
        <f>P$6/$M$6*$M$41</f>
        <v>0</v>
      </c>
      <c r="Q41" s="235">
        <f>Q$6/$M$6*$M$41</f>
        <v>0</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23.294249999999998</v>
      </c>
      <c r="O42" s="235">
        <f>O$6/$M$6*$M$42</f>
        <v>15.529499999999999</v>
      </c>
      <c r="P42" s="235">
        <f>P$6/$M$6*$M$42</f>
        <v>0</v>
      </c>
      <c r="Q42" s="235">
        <f>Q$6/$M$6*$M$42</f>
        <v>0</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'Lager-Fläche'!$K$47</f>
        <v>80</v>
      </c>
      <c r="N43" s="235">
        <f>N$6/$M$6*$M$43</f>
        <v>48</v>
      </c>
      <c r="O43" s="235">
        <f>O$6/$M$6*$M$43</f>
        <v>32</v>
      </c>
      <c r="P43" s="235">
        <f>P$6/$M$6*$M$43</f>
        <v>0</v>
      </c>
      <c r="Q43" s="235">
        <f>Q$6/$M$6*$M$43</f>
        <v>0</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74.97</v>
      </c>
      <c r="O44" s="1437">
        <f>O$6/$M$6*$M$44</f>
        <v>49.980000000000004</v>
      </c>
      <c r="P44" s="1437">
        <f>P$6/$M$6*$M$44</f>
        <v>0</v>
      </c>
      <c r="Q44" s="1437">
        <f>Q$6/$M$6*$M$44</f>
        <v>0</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803.51146265480895</v>
      </c>
      <c r="N45" s="1449">
        <f t="shared" si="14"/>
        <v>469.63287759288528</v>
      </c>
      <c r="O45" s="1449">
        <f t="shared" si="14"/>
        <v>333.87858506192356</v>
      </c>
      <c r="P45" s="1449">
        <f t="shared" si="14"/>
        <v>0</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1418.9248186425446</v>
      </c>
      <c r="N48" s="1577">
        <f t="shared" si="16"/>
        <v>829.99919049408254</v>
      </c>
      <c r="O48" s="1497">
        <f t="shared" si="16"/>
        <v>588.92562814846178</v>
      </c>
      <c r="P48" s="1497">
        <f t="shared" si="16"/>
        <v>0</v>
      </c>
      <c r="Q48" s="1497">
        <f t="shared" si="16"/>
        <v>0</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-1418.9248186425446</v>
      </c>
      <c r="N49" s="1575">
        <f t="shared" si="17"/>
        <v>-829.99919049408254</v>
      </c>
      <c r="O49" s="1316">
        <f t="shared" si="17"/>
        <v>-588.92562814846178</v>
      </c>
      <c r="P49" s="1316">
        <f t="shared" si="17"/>
        <v>0</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-0.67461837048568651</v>
      </c>
      <c r="N50" s="1854">
        <f t="shared" si="18"/>
        <v>-0.64717285808505465</v>
      </c>
      <c r="O50" s="1614">
        <f t="shared" si="18"/>
        <v>-0.71750198361167372</v>
      </c>
      <c r="P50" s="1614">
        <f t="shared" si="18"/>
        <v>0</v>
      </c>
      <c r="Q50" s="1614">
        <f t="shared" si="18"/>
        <v>0</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580</v>
      </c>
      <c r="N51" s="1628">
        <f>N17</f>
        <v>348</v>
      </c>
      <c r="O51" s="1629">
        <f>O17</f>
        <v>232</v>
      </c>
      <c r="P51" s="1629">
        <f t="shared" si="19"/>
        <v>0</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-838.92481864254455</v>
      </c>
      <c r="N52" s="1622">
        <f t="shared" si="20"/>
        <v>-481.99919049408254</v>
      </c>
      <c r="O52" s="1537">
        <f t="shared" si="20"/>
        <v>-356.92562814846178</v>
      </c>
      <c r="P52" s="1537">
        <f t="shared" si="20"/>
        <v>0</v>
      </c>
      <c r="Q52" s="1537">
        <f t="shared" si="20"/>
        <v>0</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-0.3988612269493389</v>
      </c>
      <c r="N53" s="1854">
        <f t="shared" si="21"/>
        <v>-0.37582782884528854</v>
      </c>
      <c r="O53" s="1614">
        <f t="shared" si="21"/>
        <v>-0.4348509114869174</v>
      </c>
      <c r="P53" s="1614">
        <f t="shared" si="21"/>
        <v>0</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838.92481864254455</v>
      </c>
      <c r="N55" s="1494">
        <f t="shared" si="22"/>
        <v>481.99919049408254</v>
      </c>
      <c r="O55" s="1494">
        <f t="shared" si="22"/>
        <v>356.92562814846178</v>
      </c>
      <c r="P55" s="1494">
        <f t="shared" si="22"/>
        <v>0</v>
      </c>
      <c r="Q55" s="1494">
        <f t="shared" si="22"/>
        <v>0</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17.661575129316727</v>
      </c>
      <c r="N56" s="1559">
        <f t="shared" si="24"/>
        <v>16.912252298037988</v>
      </c>
      <c r="O56" s="1559">
        <f t="shared" si="24"/>
        <v>18.785559376234829</v>
      </c>
      <c r="P56" s="1559">
        <f t="shared" si="24"/>
        <v>0</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19.623972365907473</v>
      </c>
      <c r="N57" s="2174">
        <f>IF($N$9=0,0,N$55/$N$9)</f>
        <v>18.791391442264427</v>
      </c>
      <c r="O57" s="2174">
        <f>IF($O$9=0,0,O$55/$O$9)</f>
        <v>20.872843751372031</v>
      </c>
      <c r="P57" s="2174">
        <f>IF($P$9=0,0,P$55/$P$9)</f>
        <v>0</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0.3988612269493389</v>
      </c>
      <c r="N59" s="1586">
        <f t="shared" si="25"/>
        <v>0.37582782884528854</v>
      </c>
      <c r="O59" s="1586">
        <f t="shared" si="25"/>
        <v>0.4348509114869174</v>
      </c>
      <c r="P59" s="1586">
        <f t="shared" si="25"/>
        <v>0</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0.11079478526370526</v>
      </c>
      <c r="N60" s="1586">
        <f t="shared" si="26"/>
        <v>0.10439661912369126</v>
      </c>
      <c r="O60" s="1586">
        <f t="shared" si="26"/>
        <v>0.12079191985747706</v>
      </c>
      <c r="P60" s="1586">
        <f t="shared" si="26"/>
        <v>0</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0.3988612269493389</v>
      </c>
      <c r="N61" s="1586">
        <f t="shared" si="27"/>
        <v>0.37582782884528854</v>
      </c>
      <c r="O61" s="1586">
        <f t="shared" si="27"/>
        <v>0.4348509114869174</v>
      </c>
      <c r="P61" s="1586">
        <f t="shared" si="27"/>
        <v>0</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0.23931673616960336</v>
      </c>
      <c r="N62" s="1856">
        <f t="shared" si="28"/>
        <v>0.22549669730717312</v>
      </c>
      <c r="O62" s="1856">
        <f t="shared" si="28"/>
        <v>0.26091054689215043</v>
      </c>
      <c r="P62" s="1856">
        <f t="shared" si="28"/>
        <v>0</v>
      </c>
      <c r="Q62" s="1856">
        <f t="shared" si="28"/>
        <v>0</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754.15422205163543</v>
      </c>
      <c r="N63" s="1313">
        <f t="shared" si="29"/>
        <v>431.13683253953707</v>
      </c>
      <c r="O63" s="1313">
        <f t="shared" si="29"/>
        <v>323.01738951209813</v>
      </c>
      <c r="P63" s="1313">
        <f t="shared" si="29"/>
        <v>0</v>
      </c>
      <c r="Q63" s="1313">
        <f t="shared" si="29"/>
        <v>0</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17.641034433956385</v>
      </c>
      <c r="N64" s="2174">
        <f>IF($N$9=0,0,N$63/$N$9)</f>
        <v>16.808453510313338</v>
      </c>
      <c r="O64" s="2174">
        <f>IF($O$9=0,0,O$63/$O$9)</f>
        <v>18.889905819420942</v>
      </c>
      <c r="P64" s="2174">
        <f>IF($P$9=0,0,P$63/$P$9)</f>
        <v>0</v>
      </c>
      <c r="Q64" s="2174">
        <f>IF($Q$9=0,0,Q$63/$Q$9)</f>
        <v>0</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0.35855761044626794</v>
      </c>
      <c r="N65" s="1615">
        <f t="shared" si="30"/>
        <v>0.33616907020626674</v>
      </c>
      <c r="O65" s="1615">
        <f t="shared" si="30"/>
        <v>0.39353970457126969</v>
      </c>
      <c r="P65" s="1615">
        <f t="shared" si="30"/>
        <v>0</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0.21513456626776079</v>
      </c>
      <c r="N66" s="1617">
        <f t="shared" si="30"/>
        <v>0.20170144212376004</v>
      </c>
      <c r="O66" s="1617">
        <f t="shared" si="30"/>
        <v>0.23612382274276181</v>
      </c>
      <c r="P66" s="1617">
        <f t="shared" si="30"/>
        <v>0</v>
      </c>
      <c r="Q66" s="1617">
        <f t="shared" si="30"/>
        <v>0</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364.33889320489283</v>
      </c>
      <c r="N68" s="1316">
        <f t="shared" si="31"/>
        <v>218.54817008013171</v>
      </c>
      <c r="O68" s="1316">
        <f t="shared" si="31"/>
        <v>145.79072312476114</v>
      </c>
      <c r="P68" s="1316">
        <f t="shared" si="31"/>
        <v>0</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0.17322250425754424</v>
      </c>
      <c r="N69" s="1487">
        <f t="shared" si="32"/>
        <v>0.17040792988704226</v>
      </c>
      <c r="O69" s="1487">
        <f t="shared" si="32"/>
        <v>0.17762027671145364</v>
      </c>
      <c r="P69" s="1487">
        <f t="shared" si="32"/>
        <v>0</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726.04157884674237</v>
      </c>
      <c r="N70" s="1313">
        <f t="shared" si="33"/>
        <v>414.32441245940549</v>
      </c>
      <c r="O70" s="1313">
        <f t="shared" si="33"/>
        <v>311.71716638733699</v>
      </c>
      <c r="P70" s="1313">
        <f t="shared" si="33"/>
        <v>0</v>
      </c>
      <c r="Q70" s="1313">
        <f t="shared" si="33"/>
        <v>0</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0.34519164115758205</v>
      </c>
      <c r="N71" s="1614">
        <f t="shared" si="34"/>
        <v>0.32305997072858128</v>
      </c>
      <c r="O71" s="1614">
        <f t="shared" si="34"/>
        <v>0.37977237620289594</v>
      </c>
      <c r="P71" s="1614">
        <f t="shared" si="34"/>
        <v>0</v>
      </c>
      <c r="Q71" s="1614">
        <f t="shared" si="34"/>
        <v>0</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12" sqref="N12"/>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27"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HeuBoden</v>
      </c>
      <c r="N5" s="2699" t="str">
        <f>VLOOKUP(W$5,$S$4:$T$13,2)</f>
        <v>HeuBoden</v>
      </c>
      <c r="O5" s="2699" t="str">
        <f>VLOOKUP(X$5,$S$4:$T$13,2)</f>
        <v>HeuBoden</v>
      </c>
      <c r="P5" s="2699">
        <f>VLOOKUP(Y$5,$S$4:$T$13,2)</f>
        <v>0</v>
      </c>
      <c r="Q5" s="2700">
        <f>VLOOKUP(Z$5,$S$4:$T$13,2)</f>
        <v>0</v>
      </c>
      <c r="R5" s="470"/>
      <c r="S5" s="2642">
        <v>2</v>
      </c>
      <c r="T5" s="2672" t="str">
        <f>Energ.!G$57</f>
        <v>Umtriebsweide</v>
      </c>
      <c r="U5" s="2643"/>
      <c r="V5" s="2639">
        <v>6</v>
      </c>
      <c r="W5" s="2118">
        <v>6</v>
      </c>
      <c r="X5" s="2118">
        <v>6</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10</v>
      </c>
      <c r="L8" s="1224"/>
      <c r="M8" s="2646">
        <f>HLOOKUP(V$5,Energ.!$F$58:$N$66,Energ.!$A59)*100</f>
        <v>10</v>
      </c>
      <c r="N8" s="2647">
        <f>HLOOKUP(W$5,Energ.!$F$58:$N$66,Energ.!$A59)*100</f>
        <v>10</v>
      </c>
      <c r="O8" s="2647">
        <f>HLOOKUP(X$5,Energ.!$F$58:$N$66,Energ.!$A59)*100</f>
        <v>10</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5</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88</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90</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1.7999999999999998</v>
      </c>
      <c r="L12" s="1224"/>
      <c r="M12" s="2655">
        <f>HLOOKUP(V$5,Energ.!$F$58:$N$66,Energ.!$A64)</f>
        <v>1.8</v>
      </c>
      <c r="N12" s="2656">
        <f>HLOOKUP(W$5,Energ.!$F$58:$N$66,Energ.!$A64)</f>
        <v>1.8</v>
      </c>
      <c r="O12" s="2656">
        <f>HLOOKUP(X$5,Energ.!$F$58:$N$66,Energ.!$A64)</f>
        <v>1.8</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1.6199999999999997</v>
      </c>
      <c r="L13" s="1231"/>
      <c r="M13" s="517">
        <f>M12*M11/100</f>
        <v>1.62</v>
      </c>
      <c r="N13" s="518">
        <f>N12*N11/100</f>
        <v>1.62</v>
      </c>
      <c r="O13" s="518">
        <f>O12*O11/100</f>
        <v>1.62</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58.5</v>
      </c>
      <c r="L14" s="1233"/>
      <c r="M14" s="865">
        <f>M6*(100-M8)/100</f>
        <v>26.324999999999999</v>
      </c>
      <c r="N14" s="866">
        <f>N6*(100-N8)/100</f>
        <v>20.475000000000001</v>
      </c>
      <c r="O14" s="866">
        <f>O6*(100-O8)/100</f>
        <v>11.7</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66.477272727272734</v>
      </c>
      <c r="L15" s="1233"/>
      <c r="M15" s="865">
        <f>IF(M10=0,0,M14/M10*100)</f>
        <v>29.914772727272727</v>
      </c>
      <c r="N15" s="866">
        <f>IF(N10=0,0,N14/N10*100)</f>
        <v>23.267045454545457</v>
      </c>
      <c r="O15" s="866">
        <f>IF(O10=0,0,O14/O10*100)</f>
        <v>13.295454545454543</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36.93181818181818</v>
      </c>
      <c r="L16" s="3348"/>
      <c r="M16" s="1793">
        <f>IF(V5&lt;4,0,IF(M12=0,0,M15/M12))</f>
        <v>16.61931818181818</v>
      </c>
      <c r="N16" s="1794">
        <f>IF(W5&lt;4,0,IF(N12=0,0,N15/N12))</f>
        <v>12.926136363636365</v>
      </c>
      <c r="O16" s="1794">
        <f>IF(X5&lt;4,0,IF(O12=0,0,O15/O12))</f>
        <v>7.3863636363636349</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55.575000000000003</v>
      </c>
      <c r="L17" s="1235"/>
      <c r="M17" s="865">
        <f>M14*(100-M9)/100</f>
        <v>25.008749999999999</v>
      </c>
      <c r="N17" s="870">
        <f>N14*(100-N9)/100</f>
        <v>19.451250000000002</v>
      </c>
      <c r="O17" s="870">
        <f>O14*(100-O9)/100</f>
        <v>11.115</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61.75</v>
      </c>
      <c r="L18" s="1235"/>
      <c r="M18" s="865">
        <f>IF(M11=0,0,M17/M11*100)</f>
        <v>27.787499999999998</v>
      </c>
      <c r="N18" s="870">
        <f>IF(N11=0,0,N17/N11*100)</f>
        <v>21.612500000000001</v>
      </c>
      <c r="O18" s="870">
        <f>IF(O11=0,0,O17/O11*100)</f>
        <v>12.35</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5.339999999999999</v>
      </c>
      <c r="L20" s="1238"/>
      <c r="M20" s="254">
        <v>5.6</v>
      </c>
      <c r="N20" s="255">
        <v>5.2</v>
      </c>
      <c r="O20" s="255">
        <v>5</v>
      </c>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8.9</v>
      </c>
      <c r="L21" s="1238"/>
      <c r="M21" s="428">
        <f>IF($G21=0,0,M20/$G21)</f>
        <v>9.3333333333333339</v>
      </c>
      <c r="N21" s="429">
        <f>IF($G21=0,0,N20/$G21)</f>
        <v>8.6666666666666679</v>
      </c>
      <c r="O21" s="429">
        <f>IF($G21=0,0,O20/$G21)</f>
        <v>8.3333333333333339</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2967.7049999999999</v>
      </c>
      <c r="L22" s="1240"/>
      <c r="M22" s="385">
        <f t="shared" ref="M22:Q23" si="0">M$17*M20*10</f>
        <v>1400.4899999999998</v>
      </c>
      <c r="N22" s="387">
        <f t="shared" si="0"/>
        <v>1011.4650000000001</v>
      </c>
      <c r="O22" s="387">
        <f t="shared" si="0"/>
        <v>555.75</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4946.1750000000011</v>
      </c>
      <c r="L23" s="1242"/>
      <c r="M23" s="386">
        <f t="shared" si="0"/>
        <v>2334.15</v>
      </c>
      <c r="N23" s="388">
        <f t="shared" si="0"/>
        <v>1685.7750000000005</v>
      </c>
      <c r="O23" s="388">
        <f t="shared" si="0"/>
        <v>926.25000000000011</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648.45729899999981</v>
      </c>
      <c r="M34" s="894">
        <f>$L34*M$7/100</f>
        <v>291.80578454999994</v>
      </c>
      <c r="N34" s="895">
        <f>$L34*N$7/100</f>
        <v>226.96005464999996</v>
      </c>
      <c r="O34" s="895">
        <f>$L34*O$7/100</f>
        <v>129.69145979999996</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2.38</v>
      </c>
      <c r="I36" s="112">
        <v>-45</v>
      </c>
      <c r="J36" s="913"/>
      <c r="K36" s="1255">
        <f>H36*$K$14+I36</f>
        <v>94.22999999999999</v>
      </c>
      <c r="L36" s="1256">
        <f>K36*$F36</f>
        <v>336.40109999999993</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0.71</v>
      </c>
      <c r="I37" s="112"/>
      <c r="J37" s="913"/>
      <c r="K37" s="1255">
        <f>H37*$K$14+I37</f>
        <v>41.534999999999997</v>
      </c>
      <c r="L37" s="1256">
        <f>K37*$F37</f>
        <v>107.750097</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2.89</v>
      </c>
      <c r="I38" s="112"/>
      <c r="J38" s="913"/>
      <c r="K38" s="1255">
        <f>H38*$K$14+I38</f>
        <v>169.065</v>
      </c>
      <c r="L38" s="1256">
        <f>K38*$F38</f>
        <v>156.92613299999999</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0.41</v>
      </c>
      <c r="I39" s="115"/>
      <c r="J39" s="920"/>
      <c r="K39" s="1257">
        <f>H39*$K$14+I39</f>
        <v>23.984999999999999</v>
      </c>
      <c r="L39" s="1258">
        <f>K39*$F39</f>
        <v>47.379968999999996</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164.89125178809695</v>
      </c>
      <c r="M43" s="931">
        <f>SUM(Z46:Z56)</f>
        <v>63.206589727356423</v>
      </c>
      <c r="N43" s="931">
        <f>SUM(AA46:AA56)</f>
        <v>53.531560583364332</v>
      </c>
      <c r="O43" s="931">
        <f>SUM(AB46:AB56)</f>
        <v>48.153101477376183</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0.99</v>
      </c>
      <c r="K46" s="1266">
        <f t="shared" ref="K46:K56" si="1">J46*H46</f>
        <v>0.85139999999999993</v>
      </c>
      <c r="L46" s="1256">
        <f t="shared" ref="L46:L56" si="2">J46*I46</f>
        <v>10.272141498959996</v>
      </c>
      <c r="M46" s="259">
        <v>0.33</v>
      </c>
      <c r="N46" s="260">
        <v>0.33</v>
      </c>
      <c r="O46" s="260">
        <v>0.33</v>
      </c>
      <c r="P46" s="260"/>
      <c r="Q46" s="261"/>
      <c r="R46" s="449"/>
      <c r="S46" s="449"/>
      <c r="T46" s="406">
        <f t="shared" ref="T46:X56" si="3">IF(M46&lt;&gt;0,M46*$H46,0)</f>
        <v>0.2838</v>
      </c>
      <c r="U46" s="407">
        <f t="shared" si="3"/>
        <v>0.2838</v>
      </c>
      <c r="V46" s="407">
        <f t="shared" si="3"/>
        <v>0.2838</v>
      </c>
      <c r="W46" s="407">
        <f t="shared" si="3"/>
        <v>0</v>
      </c>
      <c r="X46" s="408">
        <f t="shared" si="3"/>
        <v>0</v>
      </c>
      <c r="Y46" s="434"/>
      <c r="Z46" s="406">
        <f t="shared" ref="Z46:AD56" si="4">IF(M46&lt;&gt;0,M46*$I46,0)</f>
        <v>3.4240471663199989</v>
      </c>
      <c r="AA46" s="407">
        <f t="shared" si="4"/>
        <v>3.4240471663199989</v>
      </c>
      <c r="AB46" s="407">
        <f t="shared" si="4"/>
        <v>3.4240471663199989</v>
      </c>
      <c r="AC46" s="407">
        <f t="shared" si="4"/>
        <v>0</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3</v>
      </c>
      <c r="K50" s="1266">
        <f t="shared" si="1"/>
        <v>1.62</v>
      </c>
      <c r="L50" s="1256">
        <f t="shared" si="2"/>
        <v>27.659783928000003</v>
      </c>
      <c r="M50" s="259">
        <v>1</v>
      </c>
      <c r="N50" s="260">
        <v>1</v>
      </c>
      <c r="O50" s="260">
        <v>1</v>
      </c>
      <c r="P50" s="260"/>
      <c r="Q50" s="261"/>
      <c r="R50" s="449"/>
      <c r="S50" s="449"/>
      <c r="T50" s="406">
        <f t="shared" si="3"/>
        <v>0.54</v>
      </c>
      <c r="U50" s="407">
        <f t="shared" si="3"/>
        <v>0.54</v>
      </c>
      <c r="V50" s="407">
        <f t="shared" si="3"/>
        <v>0.54</v>
      </c>
      <c r="W50" s="407">
        <f t="shared" si="3"/>
        <v>0</v>
      </c>
      <c r="X50" s="408">
        <f t="shared" si="3"/>
        <v>0</v>
      </c>
      <c r="Y50" s="434"/>
      <c r="Z50" s="406">
        <f t="shared" si="4"/>
        <v>9.219927976000001</v>
      </c>
      <c r="AA50" s="407">
        <f t="shared" si="4"/>
        <v>9.219927976000001</v>
      </c>
      <c r="AB50" s="407">
        <f t="shared" si="4"/>
        <v>9.219927976000001</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10</v>
      </c>
      <c r="K51" s="1266">
        <f t="shared" si="1"/>
        <v>3.5</v>
      </c>
      <c r="L51" s="1256">
        <f t="shared" si="2"/>
        <v>60.8938974</v>
      </c>
      <c r="M51" s="259">
        <v>4</v>
      </c>
      <c r="N51" s="260">
        <v>3</v>
      </c>
      <c r="O51" s="260">
        <v>3</v>
      </c>
      <c r="P51" s="260"/>
      <c r="Q51" s="261"/>
      <c r="R51" s="449"/>
      <c r="S51" s="449"/>
      <c r="T51" s="406">
        <f t="shared" si="3"/>
        <v>1.4</v>
      </c>
      <c r="U51" s="407">
        <f t="shared" si="3"/>
        <v>1.0499999999999998</v>
      </c>
      <c r="V51" s="407">
        <f t="shared" si="3"/>
        <v>1.0499999999999998</v>
      </c>
      <c r="W51" s="407">
        <f t="shared" si="3"/>
        <v>0</v>
      </c>
      <c r="X51" s="408">
        <f t="shared" si="3"/>
        <v>0</v>
      </c>
      <c r="Y51" s="434"/>
      <c r="Z51" s="406">
        <f t="shared" si="4"/>
        <v>24.357558959999999</v>
      </c>
      <c r="AA51" s="407">
        <f t="shared" si="4"/>
        <v>18.268169219999997</v>
      </c>
      <c r="AB51" s="407">
        <f t="shared" si="4"/>
        <v>18.268169219999997</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3</v>
      </c>
      <c r="K52" s="1266"/>
      <c r="L52" s="1256"/>
      <c r="M52" s="259">
        <v>1</v>
      </c>
      <c r="N52" s="260">
        <v>1</v>
      </c>
      <c r="O52" s="260">
        <v>1</v>
      </c>
      <c r="P52" s="260"/>
      <c r="Q52" s="261"/>
      <c r="R52" s="449"/>
      <c r="S52" s="449"/>
      <c r="T52" s="406">
        <f t="shared" si="3"/>
        <v>0.26</v>
      </c>
      <c r="U52" s="407">
        <f t="shared" si="3"/>
        <v>0.26</v>
      </c>
      <c r="V52" s="407">
        <f t="shared" si="3"/>
        <v>0.26</v>
      </c>
      <c r="W52" s="407">
        <f t="shared" si="3"/>
        <v>0</v>
      </c>
      <c r="X52" s="408">
        <f t="shared" si="3"/>
        <v>0</v>
      </c>
      <c r="Y52" s="434"/>
      <c r="Z52" s="406">
        <f t="shared" si="4"/>
        <v>7.3773665359999994</v>
      </c>
      <c r="AA52" s="407">
        <f t="shared" si="4"/>
        <v>7.3773665359999994</v>
      </c>
      <c r="AB52" s="407">
        <f t="shared" si="4"/>
        <v>7.3773665359999994</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2.8903162055335971</v>
      </c>
      <c r="K53" s="1266">
        <f t="shared" si="1"/>
        <v>1.9654150197628462</v>
      </c>
      <c r="L53" s="1256">
        <f t="shared" si="2"/>
        <v>35.85639403992095</v>
      </c>
      <c r="M53" s="259">
        <f>M15/23</f>
        <v>1.3006422924901186</v>
      </c>
      <c r="N53" s="260">
        <f t="shared" ref="N53:Q53" si="6">N15/23</f>
        <v>1.011610671936759</v>
      </c>
      <c r="O53" s="260">
        <f t="shared" si="6"/>
        <v>0.57806324110671925</v>
      </c>
      <c r="P53" s="260">
        <f t="shared" si="6"/>
        <v>0</v>
      </c>
      <c r="Q53" s="261">
        <f t="shared" si="6"/>
        <v>0</v>
      </c>
      <c r="R53" s="449"/>
      <c r="S53" s="449"/>
      <c r="T53" s="406">
        <f t="shared" si="3"/>
        <v>0.88443675889328077</v>
      </c>
      <c r="U53" s="407">
        <f t="shared" si="3"/>
        <v>0.68789525691699616</v>
      </c>
      <c r="V53" s="407">
        <f t="shared" si="3"/>
        <v>0.39308300395256912</v>
      </c>
      <c r="W53" s="407">
        <f t="shared" si="3"/>
        <v>0</v>
      </c>
      <c r="X53" s="408">
        <f t="shared" si="3"/>
        <v>0</v>
      </c>
      <c r="Y53" s="434"/>
      <c r="Z53" s="406">
        <f t="shared" si="4"/>
        <v>16.135377317964426</v>
      </c>
      <c r="AA53" s="407">
        <f t="shared" si="4"/>
        <v>12.549737913972335</v>
      </c>
      <c r="AB53" s="407">
        <f t="shared" si="4"/>
        <v>7.171278807984188</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9.192015019762847</v>
      </c>
      <c r="L57" s="1270"/>
      <c r="M57" s="944">
        <f>SUM(T46:T56)</f>
        <v>3.5266367588932805</v>
      </c>
      <c r="N57" s="945">
        <f>SUM(U46:U56)</f>
        <v>2.9800952569169965</v>
      </c>
      <c r="O57" s="945">
        <f>SUM(V46:V56)</f>
        <v>2.6852830039525695</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50</v>
      </c>
      <c r="H58" s="800" t="s">
        <v>487</v>
      </c>
      <c r="I58" s="800"/>
      <c r="J58" s="950"/>
      <c r="K58" s="1271">
        <f>SUM(M58:Q58)</f>
        <v>13.78802252964427</v>
      </c>
      <c r="L58" s="1272"/>
      <c r="M58" s="951">
        <f>M57+M57*$G$58/100</f>
        <v>5.2899551383399208</v>
      </c>
      <c r="N58" s="952">
        <f>N57+N57*$G$58/100</f>
        <v>4.4701428853754948</v>
      </c>
      <c r="O58" s="952">
        <f>O57+O57*$G$58/100</f>
        <v>4.027924505928854</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175.7954545454545</v>
      </c>
      <c r="M59" s="886">
        <f>SUM(T61:T63)</f>
        <v>79.107954545454533</v>
      </c>
      <c r="N59" s="870">
        <f>SUM(U61:U63)</f>
        <v>61.528409090909086</v>
      </c>
      <c r="O59" s="870">
        <f>SUM(V61:V63)</f>
        <v>35.159090909090899</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7">IF(N61&lt;&gt;0,N61*$H61,0)</f>
        <v>0</v>
      </c>
      <c r="V61" s="494">
        <f t="shared" si="7"/>
        <v>0</v>
      </c>
      <c r="W61" s="494">
        <f t="shared" si="7"/>
        <v>0</v>
      </c>
      <c r="X61" s="494">
        <f t="shared" si="7"/>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t="s">
        <v>1092</v>
      </c>
      <c r="E62" s="2078"/>
      <c r="F62" s="2078"/>
      <c r="G62" s="2243">
        <v>6</v>
      </c>
      <c r="H62" s="755">
        <f>G62*(100+$H$59)/100</f>
        <v>7.14</v>
      </c>
      <c r="I62" s="756"/>
      <c r="J62" s="2070">
        <f>SUM(M62:Q62)</f>
        <v>24.621212121212118</v>
      </c>
      <c r="K62" s="1718"/>
      <c r="L62" s="1284">
        <f>J62*H62</f>
        <v>175.7954545454545</v>
      </c>
      <c r="M62" s="2244">
        <f>M15/2.7</f>
        <v>11.079545454545453</v>
      </c>
      <c r="N62" s="2245">
        <f t="shared" ref="N62:Q62" si="8">N15/2.7</f>
        <v>8.6174242424242422</v>
      </c>
      <c r="O62" s="2245">
        <f t="shared" si="8"/>
        <v>4.924242424242423</v>
      </c>
      <c r="P62" s="2245">
        <f t="shared" si="8"/>
        <v>0</v>
      </c>
      <c r="Q62" s="2246">
        <f t="shared" si="8"/>
        <v>0</v>
      </c>
      <c r="R62" s="449"/>
      <c r="S62" s="449"/>
      <c r="T62" s="494">
        <f>IF(M62&lt;&gt;0,M62*$H62,0)</f>
        <v>79.107954545454533</v>
      </c>
      <c r="U62" s="494">
        <f t="shared" si="7"/>
        <v>61.528409090909086</v>
      </c>
      <c r="V62" s="494">
        <f t="shared" si="7"/>
        <v>35.159090909090899</v>
      </c>
      <c r="W62" s="494">
        <f t="shared" si="7"/>
        <v>0</v>
      </c>
      <c r="X62" s="494">
        <f t="shared" si="7"/>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9">SUM(L69:L70)</f>
        <v>0</v>
      </c>
      <c r="M67" s="886">
        <f t="shared" si="9"/>
        <v>0</v>
      </c>
      <c r="N67" s="870">
        <f t="shared" si="9"/>
        <v>0</v>
      </c>
      <c r="O67" s="870">
        <f t="shared" si="9"/>
        <v>0</v>
      </c>
      <c r="P67" s="870">
        <f t="shared" si="9"/>
        <v>0</v>
      </c>
      <c r="Q67" s="871">
        <f t="shared" si="9"/>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682"/>
      <c r="E69" s="2683"/>
      <c r="F69" s="2682"/>
      <c r="G69" s="2684"/>
      <c r="H69" s="2685"/>
      <c r="I69" s="2686"/>
      <c r="K69" s="1285"/>
      <c r="L69" s="1286">
        <f>SUM(M69:Q69)</f>
        <v>0</v>
      </c>
      <c r="M69" s="2687"/>
      <c r="N69" s="2688"/>
      <c r="O69" s="2688"/>
      <c r="P69" s="2688"/>
      <c r="Q69" s="2689"/>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36.93181818181818</v>
      </c>
      <c r="L77" s="2121">
        <f t="shared" si="10"/>
        <v>0</v>
      </c>
      <c r="M77" s="2121">
        <f t="shared" si="10"/>
        <v>16.61931818181818</v>
      </c>
      <c r="N77" s="2121">
        <f t="shared" si="10"/>
        <v>12.926136363636365</v>
      </c>
      <c r="O77" s="2121">
        <f t="shared" si="10"/>
        <v>7.3863636363636349</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2.9839249999999997</v>
      </c>
      <c r="N78" s="2121">
        <f>HLOOKUP(W$5,Energ.!$F$58:$N$66,Energ.!$A$65)</f>
        <v>2.9839249999999997</v>
      </c>
      <c r="O78" s="2121">
        <f>HLOOKUP(X$5,Energ.!$F$58:$N$66,Energ.!$A$65)</f>
        <v>2.9839249999999997</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110.2017755681818</v>
      </c>
      <c r="L79" s="2121"/>
      <c r="M79" s="2121">
        <f>M78*M16</f>
        <v>49.590799005681809</v>
      </c>
      <c r="N79" s="2121">
        <f>N78*N16</f>
        <v>38.570621448863641</v>
      </c>
      <c r="O79" s="2121">
        <f>O78*O16</f>
        <v>22.040355113636359</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I36" sqref="I36"/>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4929"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44930"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44931"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44932"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44933"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044934"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44935"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44936"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44937"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044938"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044939"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044940"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044941"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044942"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044943"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044944"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44945"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44946"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44947"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44948"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44949"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 3(a)'!K2</f>
        <v>Wiese 3xHeu</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'Heu 3(a)'!H3</f>
        <v>3x Heu, Ballenpressen im Lohn, ohne Trocknungskosten, keine Übersaat</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'Heu 3(a)'!M5</f>
        <v>HeuBoden</v>
      </c>
      <c r="O5" s="2679" t="str">
        <f>'Heu 3(a)'!N5</f>
        <v>HeuBoden</v>
      </c>
      <c r="P5" s="2679" t="str">
        <f>'Heu 3(a)'!O5</f>
        <v>HeuBoden</v>
      </c>
      <c r="Q5" s="2679">
        <f>'Heu 3(a)'!P5</f>
        <v>0</v>
      </c>
      <c r="R5" s="2680">
        <f>'Heu 3(a)'!Q5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'Heu 3(a)'!K6</f>
        <v>65</v>
      </c>
      <c r="N6" s="1361">
        <f>'Heu 3(a)'!M6</f>
        <v>29.25</v>
      </c>
      <c r="O6" s="1361">
        <f>'Heu 3(a)'!N6</f>
        <v>22.75</v>
      </c>
      <c r="P6" s="1361">
        <f>'Heu 3(a)'!O6</f>
        <v>13</v>
      </c>
      <c r="Q6" s="1361">
        <f>'Heu 3(a)'!P6</f>
        <v>0</v>
      </c>
      <c r="R6" s="1362">
        <f>'Heu 3(a)'!Q6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'Heu 3(a)'!K14</f>
        <v>58.5</v>
      </c>
      <c r="N7" s="391">
        <f>'Heu 3(a)'!M14</f>
        <v>26.324999999999999</v>
      </c>
      <c r="O7" s="391">
        <f>'Heu 3(a)'!N14</f>
        <v>20.475000000000001</v>
      </c>
      <c r="P7" s="391">
        <f>'Heu 3(a)'!O14</f>
        <v>11.7</v>
      </c>
      <c r="Q7" s="391">
        <f>'Heu 3(a)'!P14</f>
        <v>0</v>
      </c>
      <c r="R7" s="1299">
        <f>'Heu 3(a)'!Q14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'Heu 3(a)'!K15</f>
        <v>66.477272727272734</v>
      </c>
      <c r="N8" s="404">
        <f>'Heu 3(a)'!M15</f>
        <v>29.914772727272727</v>
      </c>
      <c r="O8" s="404">
        <f>'Heu 3(a)'!N15</f>
        <v>23.267045454545457</v>
      </c>
      <c r="P8" s="404">
        <f>'Heu 3(a)'!O15</f>
        <v>13.295454545454543</v>
      </c>
      <c r="Q8" s="404">
        <f>'Heu 3(a)'!P15</f>
        <v>0</v>
      </c>
      <c r="R8" s="1201">
        <f>'Heu 3(a)'!Q15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'Heu 3(a)'!K17</f>
        <v>55.575000000000003</v>
      </c>
      <c r="N9" s="391">
        <f>'Heu 3(a)'!M17</f>
        <v>25.008749999999999</v>
      </c>
      <c r="O9" s="391">
        <f>'Heu 3(a)'!N17</f>
        <v>19.451250000000002</v>
      </c>
      <c r="P9" s="391">
        <f>'Heu 3(a)'!O17</f>
        <v>11.115</v>
      </c>
      <c r="Q9" s="391">
        <f>'Heu 3(a)'!P17</f>
        <v>0</v>
      </c>
      <c r="R9" s="1299">
        <f>'Heu 3(a)'!Q17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'Heu 3(a)'!K18</f>
        <v>61.75</v>
      </c>
      <c r="N10" s="1303">
        <f>'Heu 3(a)'!M18</f>
        <v>27.787499999999998</v>
      </c>
      <c r="O10" s="1303">
        <f>'Heu 3(a)'!N18</f>
        <v>21.612500000000001</v>
      </c>
      <c r="P10" s="1303">
        <f>'Heu 3(a)'!O18</f>
        <v>12.35</v>
      </c>
      <c r="Q10" s="1303">
        <f>'Heu 3(a)'!P18</f>
        <v>0</v>
      </c>
      <c r="R10" s="1300">
        <f>'Heu 3(a)'!Q18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'Heu 3(a)'!K19</f>
        <v>0</v>
      </c>
      <c r="N11" s="1551">
        <f>'Heu 3(a)'!L19</f>
        <v>0</v>
      </c>
      <c r="O11" s="1551">
        <f>'Heu 3(a)'!M19</f>
        <v>0</v>
      </c>
      <c r="P11" s="1551">
        <f>'Heu 3(a)'!N19</f>
        <v>0</v>
      </c>
      <c r="Q11" s="1551">
        <f>'Heu 3(a)'!O19</f>
        <v>0</v>
      </c>
      <c r="R11" s="1552">
        <f>'Heu 3(a)'!P19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'Heu 3(a)'!K22</f>
        <v>2967.7049999999999</v>
      </c>
      <c r="N12" s="967">
        <f>'Heu 3(a)'!M22</f>
        <v>1400.4899999999998</v>
      </c>
      <c r="O12" s="967">
        <f>'Heu 3(a)'!N22</f>
        <v>1011.4650000000001</v>
      </c>
      <c r="P12" s="967">
        <f>'Heu 3(a)'!O22</f>
        <v>555.75</v>
      </c>
      <c r="Q12" s="967">
        <f>'Heu 3(a)'!P22</f>
        <v>0</v>
      </c>
      <c r="R12" s="1302">
        <f>'Heu 3(a)'!Q22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'Heu 3(a)'!K23</f>
        <v>4946.1750000000011</v>
      </c>
      <c r="N13" s="1521">
        <f>'Heu 3(a)'!M23</f>
        <v>2334.15</v>
      </c>
      <c r="O13" s="1521">
        <f>'Heu 3(a)'!N23</f>
        <v>1685.7750000000005</v>
      </c>
      <c r="P13" s="1521">
        <f>'Heu 3(a)'!O23</f>
        <v>926.25000000000011</v>
      </c>
      <c r="Q13" s="1521">
        <f>'Heu 3(a)'!P23</f>
        <v>0</v>
      </c>
      <c r="R13" s="1523">
        <f>'Heu 3(a)'!Q23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'Heu 3(a)'!L32</f>
        <v>0</v>
      </c>
      <c r="N19" s="1527">
        <f>'Heu 3(a)'!M32</f>
        <v>0</v>
      </c>
      <c r="O19" s="1527">
        <f>'Heu 3(a)'!N32</f>
        <v>0</v>
      </c>
      <c r="P19" s="1527">
        <f>'Heu 3(a)'!O32</f>
        <v>0</v>
      </c>
      <c r="Q19" s="1527">
        <f>'Heu 3(a)'!P32</f>
        <v>0</v>
      </c>
      <c r="R19" s="1529">
        <f>'Heu 3(a)'!Q32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'Heu 3(a)'!L34</f>
        <v>648.45729899999981</v>
      </c>
      <c r="N20" s="235">
        <f>'Heu 3(a)'!M34</f>
        <v>291.80578454999994</v>
      </c>
      <c r="O20" s="235">
        <f>'Heu 3(a)'!N34</f>
        <v>226.96005464999996</v>
      </c>
      <c r="P20" s="235">
        <f>'Heu 3(a)'!O34</f>
        <v>129.69145979999996</v>
      </c>
      <c r="Q20" s="235">
        <f>'Heu 3(a)'!P34</f>
        <v>0</v>
      </c>
      <c r="R20" s="1192">
        <f>'Heu 3(a)'!Q34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'Heu 3(a)'!L40</f>
        <v>0</v>
      </c>
      <c r="N21" s="235">
        <f>'Heu 3(a)'!M40</f>
        <v>0</v>
      </c>
      <c r="O21" s="235">
        <f>'Heu 3(a)'!N40</f>
        <v>0</v>
      </c>
      <c r="P21" s="235">
        <f>'Heu 3(a)'!O40</f>
        <v>0</v>
      </c>
      <c r="Q21" s="235">
        <f>'Heu 3(a)'!P40</f>
        <v>0</v>
      </c>
      <c r="R21" s="1192">
        <f>'Heu 3(a)'!Q40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'Heu 3(a)'!L67</f>
        <v>0</v>
      </c>
      <c r="N23" s="235">
        <f>'Heu 3(a)'!M67</f>
        <v>0</v>
      </c>
      <c r="O23" s="235">
        <f>'Heu 3(a)'!N67</f>
        <v>0</v>
      </c>
      <c r="P23" s="235">
        <f>'Heu 3(a)'!O67</f>
        <v>0</v>
      </c>
      <c r="Q23" s="235">
        <f>'Heu 3(a)'!P67</f>
        <v>0</v>
      </c>
      <c r="R23" s="1192">
        <f>'Heu 3(a)'!Q67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'Heu 3(a)'!L43</f>
        <v>164.89125178809695</v>
      </c>
      <c r="N24" s="235">
        <f>'Heu 3(a)'!M43</f>
        <v>63.206589727356423</v>
      </c>
      <c r="O24" s="235">
        <f>'Heu 3(a)'!N43</f>
        <v>53.531560583364332</v>
      </c>
      <c r="P24" s="235">
        <f>'Heu 3(a)'!O43</f>
        <v>48.153101477376183</v>
      </c>
      <c r="Q24" s="235">
        <f>'Heu 3(a)'!P43</f>
        <v>0</v>
      </c>
      <c r="R24" s="1192">
        <f>'Heu 3(a)'!Q43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'Heu 3(a)'!L59</f>
        <v>175.7954545454545</v>
      </c>
      <c r="N25" s="235">
        <f>'Heu 3(a)'!M59</f>
        <v>79.107954545454533</v>
      </c>
      <c r="O25" s="235">
        <f>'Heu 3(a)'!N59</f>
        <v>61.528409090909086</v>
      </c>
      <c r="P25" s="235">
        <f>'Heu 3(a)'!O59</f>
        <v>35.159090909090899</v>
      </c>
      <c r="Q25" s="235">
        <f>'Heu 3(a)'!P59</f>
        <v>0</v>
      </c>
      <c r="R25" s="1192">
        <f>'Heu 3(a)'!Q59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'Heu 3(a)'!L64</f>
        <v>0</v>
      </c>
      <c r="N26" s="1437">
        <f>'Heu 3(a)'!M64</f>
        <v>0</v>
      </c>
      <c r="O26" s="1437">
        <f>'Heu 3(a)'!N64</f>
        <v>0</v>
      </c>
      <c r="P26" s="1437">
        <f>'Heu 3(a)'!O64</f>
        <v>0</v>
      </c>
      <c r="Q26" s="1437">
        <f>'Heu 3(a)'!P64</f>
        <v>0</v>
      </c>
      <c r="R26" s="1439">
        <f>'Heu 3(a)'!Q64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989.14400533355126</v>
      </c>
      <c r="N27" s="1782">
        <f t="shared" si="4"/>
        <v>434.12032882281085</v>
      </c>
      <c r="O27" s="1782">
        <f t="shared" si="4"/>
        <v>342.02002432427338</v>
      </c>
      <c r="P27" s="1782">
        <f t="shared" si="4"/>
        <v>213.00365218646706</v>
      </c>
      <c r="Q27" s="1782">
        <f t="shared" si="4"/>
        <v>0</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-989.14400533355126</v>
      </c>
      <c r="N28" s="1321">
        <f t="shared" si="5"/>
        <v>-434.12032882281085</v>
      </c>
      <c r="O28" s="1321">
        <f t="shared" si="5"/>
        <v>-342.02002432427338</v>
      </c>
      <c r="P28" s="1321">
        <f t="shared" si="5"/>
        <v>-213.00365218646706</v>
      </c>
      <c r="Q28" s="1321">
        <f t="shared" si="5"/>
        <v>0</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-0.33330267170542599</v>
      </c>
      <c r="N29" s="1377">
        <f t="shared" si="6"/>
        <v>-0.30997745704918345</v>
      </c>
      <c r="O29" s="1377">
        <f t="shared" si="6"/>
        <v>-0.33814321239417411</v>
      </c>
      <c r="P29" s="1377">
        <f t="shared" si="6"/>
        <v>-0.38327242858563576</v>
      </c>
      <c r="Q29" s="1377">
        <f t="shared" si="6"/>
        <v>0</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'Heu 3(a)'!L25</f>
        <v>290</v>
      </c>
      <c r="V30" s="2115">
        <f>'Heu 3(a)'!M25</f>
        <v>130.5</v>
      </c>
      <c r="W30" s="2115">
        <f>'Heu 3(a)'!N25</f>
        <v>101.5</v>
      </c>
      <c r="X30" s="2115">
        <f>'Heu 3(a)'!O25</f>
        <v>58</v>
      </c>
      <c r="Y30" s="2115">
        <f>'Heu 3(a)'!P25</f>
        <v>0</v>
      </c>
      <c r="Z30" s="2115">
        <f>'Heu 3(a)'!Q25</f>
        <v>0</v>
      </c>
      <c r="AA30">
        <f>'Heu 3(a)'!R25+'Heu 3(a)'!R30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M27*'Heu 3(a)'!$L$72*'Heu 3(a)'!$Q$72/12/100</f>
        <v>6.1821500333346959</v>
      </c>
      <c r="N31" s="1437">
        <f>N27*'Heu 3(a)'!$L$72*'Heu 3(a)'!$Q$72/12/100</f>
        <v>2.7132520551425681</v>
      </c>
      <c r="O31" s="1437">
        <f>O27*'Heu 3(a)'!$L$72*'Heu 3(a)'!$Q$72/12/100</f>
        <v>2.1376251520267089</v>
      </c>
      <c r="P31" s="1437">
        <f>P27*'Heu 3(a)'!$L$72*'Heu 3(a)'!$Q$72/12/100</f>
        <v>1.3312728261654192</v>
      </c>
      <c r="Q31" s="1437">
        <f>Q27*'Heu 3(a)'!$L$72*'Heu 3(a)'!$Q$72/12/100</f>
        <v>0</v>
      </c>
      <c r="R31" s="1439">
        <f>R27*'Heu 3(a)'!$L$72*'Heu 3(a)'!$Q$72/12/100</f>
        <v>0</v>
      </c>
      <c r="T31" s="2112" t="s">
        <v>564</v>
      </c>
      <c r="U31" s="2115">
        <f>'Heu 3(a)'!L30</f>
        <v>270</v>
      </c>
      <c r="V31" s="2115">
        <f>'Heu 3(a)'!M30</f>
        <v>121.5</v>
      </c>
      <c r="W31" s="2115">
        <f>'Heu 3(a)'!N30</f>
        <v>94.5</v>
      </c>
      <c r="X31" s="2115">
        <f>'Heu 3(a)'!O30</f>
        <v>54</v>
      </c>
      <c r="Y31" s="2115">
        <f>'Heu 3(a)'!P30</f>
        <v>0</v>
      </c>
      <c r="Z31" s="2115">
        <f>'Heu 3(a)'!Q30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-435.32615536688598</v>
      </c>
      <c r="N32" s="1313">
        <f t="shared" si="8"/>
        <v>-184.83358087795341</v>
      </c>
      <c r="O32" s="1313">
        <f t="shared" si="8"/>
        <v>-148.15764947630009</v>
      </c>
      <c r="P32" s="1313">
        <f t="shared" si="8"/>
        <v>-102.33492501263248</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-0.14668781275998996</v>
      </c>
      <c r="N33" s="1199">
        <f t="shared" si="10"/>
        <v>-0.13197779411345562</v>
      </c>
      <c r="O33" s="1199">
        <f t="shared" si="10"/>
        <v>-0.14647827604148445</v>
      </c>
      <c r="P33" s="1199">
        <f t="shared" si="10"/>
        <v>-0.18413841657693655</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-8.8012687655993946E-2</v>
      </c>
      <c r="N34" s="1599">
        <f t="shared" si="11"/>
        <v>-7.9186676468073341E-2</v>
      </c>
      <c r="O34" s="1599">
        <f t="shared" si="11"/>
        <v>-8.7886965624890651E-2</v>
      </c>
      <c r="P34" s="1599">
        <f t="shared" si="11"/>
        <v>-0.11048304994616191</v>
      </c>
      <c r="Q34" s="1599">
        <f t="shared" si="11"/>
        <v>0</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'Heu 3(a)'!K58</f>
        <v>13.78802252964427</v>
      </c>
      <c r="N36" s="1772">
        <f>'Heu 3(a)'!M58</f>
        <v>5.2899551383399208</v>
      </c>
      <c r="O36" s="1772">
        <f>'Heu 3(a)'!N58</f>
        <v>4.4701428853754948</v>
      </c>
      <c r="P36" s="1772">
        <f>'Heu 3(a)'!O58</f>
        <v>4.027924505928854</v>
      </c>
      <c r="Q36" s="1772">
        <f>'Heu 3(a)'!P58</f>
        <v>0</v>
      </c>
      <c r="R36" s="1773">
        <f>'Heu 3(a)'!Q58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'Heu 3(a)'!K16</f>
        <v>36.93181818181818</v>
      </c>
      <c r="N37" s="1775">
        <f>'Heu 3(a)'!M16</f>
        <v>16.61931818181818</v>
      </c>
      <c r="O37" s="1775">
        <f>'Heu 3(a)'!N16</f>
        <v>12.926136363636365</v>
      </c>
      <c r="P37" s="1775">
        <f>'Heu 3(a)'!O16</f>
        <v>7.3863636363636349</v>
      </c>
      <c r="Q37" s="1775">
        <f>'Heu 3(a)'!P16</f>
        <v>0</v>
      </c>
      <c r="R37" s="1776">
        <f>'Heu 3(a)'!Q16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'Heu 3(a)'!M78</f>
        <v>2.9839249999999997</v>
      </c>
      <c r="O38" s="1565">
        <f>'Heu 3(a)'!N78</f>
        <v>2.9839249999999997</v>
      </c>
      <c r="P38" s="1565">
        <f>'Heu 3(a)'!O78</f>
        <v>2.9839249999999997</v>
      </c>
      <c r="Q38" s="1565">
        <f>'Heu 3(a)'!P78</f>
        <v>0</v>
      </c>
      <c r="R38" s="1566">
        <f>'Heu 3(a)'!Q78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227.50237173913044</v>
      </c>
      <c r="N39" s="235">
        <f t="shared" si="13"/>
        <v>87.2842597826087</v>
      </c>
      <c r="O39" s="235">
        <f t="shared" si="13"/>
        <v>73.757357608695656</v>
      </c>
      <c r="P39" s="235">
        <f t="shared" si="13"/>
        <v>66.460754347826096</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110.2017755681818</v>
      </c>
      <c r="N40" s="235">
        <f>N37*N38</f>
        <v>49.590799005681809</v>
      </c>
      <c r="O40" s="235">
        <f>O37*O38</f>
        <v>38.570621448863641</v>
      </c>
      <c r="P40" s="235">
        <f>P37*P38</f>
        <v>22.040355113636359</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Maschinen!S43</f>
        <v>312.80863780303025</v>
      </c>
      <c r="N41" s="235">
        <f>N$6/$M$6*$M$41</f>
        <v>140.76388701136361</v>
      </c>
      <c r="O41" s="235">
        <f>O$6/$M$6*$M$41</f>
        <v>109.48302323106059</v>
      </c>
      <c r="P41" s="235">
        <f>P$6/$M$6*$M$41</f>
        <v>62.561727560606052</v>
      </c>
      <c r="Q41" s="235">
        <f>Q$6/$M$6*$M$41</f>
        <v>0</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894.28653511034258</v>
      </c>
      <c r="N45" s="1449">
        <f t="shared" si="14"/>
        <v>387.33713329965417</v>
      </c>
      <c r="O45" s="1449">
        <f t="shared" si="14"/>
        <v>307.13181478861992</v>
      </c>
      <c r="P45" s="1449">
        <f t="shared" si="14"/>
        <v>199.81758702206849</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1889.6126904772286</v>
      </c>
      <c r="N48" s="1577">
        <f t="shared" si="16"/>
        <v>824.17071417760758</v>
      </c>
      <c r="O48" s="1497">
        <f t="shared" si="16"/>
        <v>651.28946426492007</v>
      </c>
      <c r="P48" s="1497">
        <f t="shared" si="16"/>
        <v>414.15251203470098</v>
      </c>
      <c r="Q48" s="1497">
        <f t="shared" si="16"/>
        <v>0</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-1889.6126904772286</v>
      </c>
      <c r="N49" s="1575">
        <f t="shared" si="17"/>
        <v>-824.17071417760758</v>
      </c>
      <c r="O49" s="1316">
        <f t="shared" si="17"/>
        <v>-651.28946426492007</v>
      </c>
      <c r="P49" s="1316">
        <f t="shared" si="17"/>
        <v>-414.15251203470098</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-0.63672524407824516</v>
      </c>
      <c r="N50" s="1854">
        <f t="shared" si="18"/>
        <v>-0.58848739668088146</v>
      </c>
      <c r="O50" s="1614">
        <f t="shared" si="18"/>
        <v>-0.6439070697106869</v>
      </c>
      <c r="P50" s="1614">
        <f t="shared" si="18"/>
        <v>-0.74521369686855776</v>
      </c>
      <c r="Q50" s="1614">
        <f t="shared" si="18"/>
        <v>0</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-1329.6126904772286</v>
      </c>
      <c r="N52" s="1622">
        <f t="shared" si="20"/>
        <v>-572.17071417760758</v>
      </c>
      <c r="O52" s="1537">
        <f t="shared" si="20"/>
        <v>-455.28946426492007</v>
      </c>
      <c r="P52" s="1537">
        <f t="shared" si="20"/>
        <v>-302.15251203470098</v>
      </c>
      <c r="Q52" s="1537">
        <f t="shared" si="20"/>
        <v>0</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-0.44802724343465022</v>
      </c>
      <c r="N53" s="1854">
        <f t="shared" si="21"/>
        <v>-0.40855037463859628</v>
      </c>
      <c r="O53" s="1614">
        <f t="shared" si="21"/>
        <v>-0.45012873828053368</v>
      </c>
      <c r="P53" s="1614">
        <f t="shared" si="21"/>
        <v>-0.54368423218119832</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M48-M51</f>
        <v>1329.6126904772286</v>
      </c>
      <c r="N55" s="1494">
        <f t="shared" ref="N55:R55" si="22">N48-N51</f>
        <v>572.17071417760758</v>
      </c>
      <c r="O55" s="1494">
        <f t="shared" si="22"/>
        <v>455.28946426492007</v>
      </c>
      <c r="P55" s="1494">
        <f t="shared" si="22"/>
        <v>302.15251203470098</v>
      </c>
      <c r="Q55" s="1494">
        <f t="shared" si="22"/>
        <v>0</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21.532189319469289</v>
      </c>
      <c r="N56" s="1559">
        <f t="shared" si="24"/>
        <v>20.590938881785249</v>
      </c>
      <c r="O56" s="1559">
        <f t="shared" si="24"/>
        <v>21.066024951528981</v>
      </c>
      <c r="P56" s="1559">
        <f t="shared" si="24"/>
        <v>24.465790448153925</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23.92465479941032</v>
      </c>
      <c r="N57" s="2174">
        <f>IF($N$9=0,0,N$55/$N$9)</f>
        <v>22.878820979761386</v>
      </c>
      <c r="O57" s="2174">
        <f>IF($O$9=0,0,O$55/$O$9)</f>
        <v>23.406694390587752</v>
      </c>
      <c r="P57" s="2174">
        <f>IF($P$9=0,0,P$55/$P$9)</f>
        <v>27.184211609059915</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0.44802724343465022</v>
      </c>
      <c r="N59" s="1586">
        <f t="shared" si="25"/>
        <v>0.40855037463859628</v>
      </c>
      <c r="O59" s="1586">
        <f t="shared" si="25"/>
        <v>0.45012873828053368</v>
      </c>
      <c r="P59" s="1586">
        <f t="shared" si="25"/>
        <v>0.54368423218119832</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0.12445201206518063</v>
      </c>
      <c r="N60" s="1586">
        <f t="shared" si="26"/>
        <v>0.11348621517738786</v>
      </c>
      <c r="O60" s="1586">
        <f t="shared" si="26"/>
        <v>0.12503576063348157</v>
      </c>
      <c r="P60" s="1586">
        <f t="shared" si="26"/>
        <v>0.15102339782811064</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0.44802724343465022</v>
      </c>
      <c r="N61" s="1586">
        <f t="shared" si="27"/>
        <v>0.40855037463859628</v>
      </c>
      <c r="O61" s="1586">
        <f t="shared" si="27"/>
        <v>0.45012873828053368</v>
      </c>
      <c r="P61" s="1586">
        <f t="shared" si="27"/>
        <v>0.54368423218119832</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0.26881634606079008</v>
      </c>
      <c r="N62" s="1856">
        <f t="shared" si="28"/>
        <v>0.24513022478315771</v>
      </c>
      <c r="O62" s="1856">
        <f t="shared" si="28"/>
        <v>0.27007724296832014</v>
      </c>
      <c r="P62" s="1856">
        <f t="shared" si="28"/>
        <v>0.32621053930871896</v>
      </c>
      <c r="Q62" s="1856">
        <f t="shared" si="28"/>
        <v>0</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M55-M40</f>
        <v>1219.4109149090468</v>
      </c>
      <c r="N63" s="1313">
        <f t="shared" ref="N63:R63" si="29">N55-N40</f>
        <v>522.57991517192579</v>
      </c>
      <c r="O63" s="1313">
        <f t="shared" si="29"/>
        <v>416.71884281605645</v>
      </c>
      <c r="P63" s="1313">
        <f t="shared" si="29"/>
        <v>280.11215692106464</v>
      </c>
      <c r="Q63" s="1313">
        <f t="shared" si="29"/>
        <v>0</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21.941716867459231</v>
      </c>
      <c r="N64" s="2174">
        <f>IF($N$9=0,0,N$63/$N$9)</f>
        <v>20.895883047810297</v>
      </c>
      <c r="O64" s="2174">
        <f>IF($O$9=0,0,O$63/$O$9)</f>
        <v>21.423756458636664</v>
      </c>
      <c r="P64" s="2174">
        <f>IF($P$9=0,0,P$63/$P$9)</f>
        <v>25.20127367710883</v>
      </c>
      <c r="Q64" s="2174">
        <f>IF($Q$9=0,0,Q$63/$Q$9)</f>
        <v>0</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0.41089357429698936</v>
      </c>
      <c r="N65" s="1615">
        <f t="shared" si="30"/>
        <v>0.37314076871089824</v>
      </c>
      <c r="O65" s="1615">
        <f t="shared" si="30"/>
        <v>0.41199531651224353</v>
      </c>
      <c r="P65" s="1615">
        <f t="shared" si="30"/>
        <v>0.50402547354217664</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0.24653614457819356</v>
      </c>
      <c r="N66" s="1617">
        <f t="shared" si="30"/>
        <v>0.22388446122653891</v>
      </c>
      <c r="O66" s="1617">
        <f t="shared" si="30"/>
        <v>0.24719718990734607</v>
      </c>
      <c r="P66" s="1617">
        <f t="shared" si="30"/>
        <v>0.30241528412530594</v>
      </c>
      <c r="Q66" s="1617">
        <f t="shared" si="30"/>
        <v>0</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654.63944903333447</v>
      </c>
      <c r="N68" s="1316">
        <f t="shared" si="31"/>
        <v>294.5190366051425</v>
      </c>
      <c r="O68" s="1316">
        <f t="shared" si="31"/>
        <v>229.09767980202668</v>
      </c>
      <c r="P68" s="1316">
        <f t="shared" si="31"/>
        <v>131.02273262616538</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0.22058777709824073</v>
      </c>
      <c r="N69" s="1487">
        <f t="shared" si="32"/>
        <v>0.2102971364344926</v>
      </c>
      <c r="O69" s="1487">
        <f t="shared" si="32"/>
        <v>0.2265008475844707</v>
      </c>
      <c r="P69" s="1487">
        <f t="shared" si="32"/>
        <v>0.2357584032859476</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880.99771587571217</v>
      </c>
      <c r="N70" s="1313">
        <f t="shared" si="33"/>
        <v>370.36269106678333</v>
      </c>
      <c r="O70" s="1313">
        <f t="shared" si="33"/>
        <v>298.30035051402967</v>
      </c>
      <c r="P70" s="1313">
        <f t="shared" si="33"/>
        <v>212.33467429489923</v>
      </c>
      <c r="Q70" s="1313">
        <f t="shared" si="33"/>
        <v>0</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0.29686162063807292</v>
      </c>
      <c r="N71" s="1614">
        <f t="shared" si="34"/>
        <v>0.2644522210560471</v>
      </c>
      <c r="O71" s="1614">
        <f t="shared" si="34"/>
        <v>0.29491910299815577</v>
      </c>
      <c r="P71" s="1614">
        <f t="shared" si="34"/>
        <v>0.38206868968942731</v>
      </c>
      <c r="Q71" s="1614">
        <f t="shared" si="34"/>
        <v>0</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38" sqref="N38"/>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S82"/>
  <sheetViews>
    <sheetView showGridLines="0" showZeros="0" workbookViewId="0">
      <pane xSplit="12" ySplit="5" topLeftCell="M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1094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1199</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HeuTrocknung</v>
      </c>
      <c r="N5" s="2699" t="str">
        <f>VLOOKUP(W$5,$S$4:$T$13,2)</f>
        <v>HeuBoden</v>
      </c>
      <c r="O5" s="2699" t="str">
        <f>VLOOKUP(X$5,$S$4:$T$13,2)</f>
        <v>HeuBoden</v>
      </c>
      <c r="P5" s="2699" t="str">
        <f>VLOOKUP(Y$5,$S$4:$T$13,2)</f>
        <v>HeuTrocknung</v>
      </c>
      <c r="Q5" s="2700">
        <f>VLOOKUP(Z$5,$S$4:$T$13,2)</f>
        <v>0</v>
      </c>
      <c r="R5" s="470"/>
      <c r="S5" s="2642">
        <v>2</v>
      </c>
      <c r="T5" s="2672" t="str">
        <f>Energ.!G$57</f>
        <v>Umtriebsweide</v>
      </c>
      <c r="U5" s="2643"/>
      <c r="V5" s="2639">
        <v>8</v>
      </c>
      <c r="W5" s="2118">
        <v>6</v>
      </c>
      <c r="X5" s="2118">
        <v>6</v>
      </c>
      <c r="Y5" s="2118">
        <v>8</v>
      </c>
      <c r="Z5" s="2119">
        <v>10</v>
      </c>
      <c r="AE5" s="434"/>
      <c r="AF5" s="434"/>
      <c r="AG5" s="434"/>
    </row>
    <row r="6" spans="1:45" s="433" customFormat="1" ht="18.7" customHeight="1" x14ac:dyDescent="0.2">
      <c r="A6" s="964"/>
      <c r="B6" s="848"/>
      <c r="C6" s="849"/>
      <c r="D6" s="850" t="s">
        <v>119</v>
      </c>
      <c r="E6" s="851"/>
      <c r="F6" s="851"/>
      <c r="G6" s="851"/>
      <c r="H6" s="851"/>
      <c r="I6" s="852" t="s">
        <v>72</v>
      </c>
      <c r="J6" s="448"/>
      <c r="K6" s="2190">
        <v>80</v>
      </c>
      <c r="L6" s="1288"/>
      <c r="M6" s="853">
        <f>$K$6*M7/100</f>
        <v>28</v>
      </c>
      <c r="N6" s="854">
        <f>$K$6*N7/100</f>
        <v>20</v>
      </c>
      <c r="O6" s="854">
        <f>$K$6*O7/100</f>
        <v>16</v>
      </c>
      <c r="P6" s="854">
        <f>$K$6*P7/100</f>
        <v>16</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7.25</v>
      </c>
      <c r="L8" s="1224"/>
      <c r="M8" s="2646">
        <f>HLOOKUP(V$5,Energ.!$F$58:$N$66,Energ.!$A59)*100</f>
        <v>5</v>
      </c>
      <c r="N8" s="2647">
        <f>HLOOKUP(W$5,Energ.!$F$58:$N$66,Energ.!$A59)*100</f>
        <v>10</v>
      </c>
      <c r="O8" s="2647">
        <f>HLOOKUP(X$5,Energ.!$F$58:$N$66,Energ.!$A59)*100</f>
        <v>10</v>
      </c>
      <c r="P8" s="2647">
        <f>HLOOKUP(Y$5,Energ.!$F$58:$N$66,Energ.!$A59)*100</f>
        <v>5</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5</v>
      </c>
      <c r="L9" s="1226"/>
      <c r="M9" s="2649">
        <f>HLOOKUP(V$5,Energ.!$F$58:$N$66,Energ.!$A60)*100</f>
        <v>5</v>
      </c>
      <c r="N9" s="2650">
        <f>HLOOKUP(W$5,Energ.!$F$58:$N$66,Energ.!$A60)*100</f>
        <v>5</v>
      </c>
      <c r="O9" s="2650">
        <f>HLOOKUP(X$5,Energ.!$F$58:$N$66,Energ.!$A60)*100</f>
        <v>5</v>
      </c>
      <c r="P9" s="2650">
        <f>HLOOKUP(Y$5,Energ.!$F$58:$N$66,Energ.!$A60)*100</f>
        <v>5</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88</v>
      </c>
      <c r="L10" s="1224"/>
      <c r="M10" s="2652">
        <f>HLOOKUP(V$5,Energ.!$F$58:$N$66,Energ.!$A62)*100</f>
        <v>88</v>
      </c>
      <c r="N10" s="2653">
        <f>HLOOKUP(W$5,Energ.!$F$58:$N$66,Energ.!$A62)*100</f>
        <v>88</v>
      </c>
      <c r="O10" s="2658">
        <f>HLOOKUP(X$5,Energ.!$F$58:$N$66,Energ.!$A62)*100</f>
        <v>88</v>
      </c>
      <c r="P10" s="2653">
        <f>HLOOKUP(Y$5,Energ.!$F$58:$N$66,Energ.!$A62)*100</f>
        <v>88</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90</v>
      </c>
      <c r="L11" s="1228"/>
      <c r="M11" s="2649">
        <f>HLOOKUP(V$5,Energ.!$F$58:$N$66,Energ.!$A63)*100</f>
        <v>90</v>
      </c>
      <c r="N11" s="2650">
        <f>HLOOKUP(W$5,Energ.!$F$58:$N$66,Energ.!$A63)*100</f>
        <v>90</v>
      </c>
      <c r="O11" s="2650">
        <f>HLOOKUP(X$5,Energ.!$F$58:$N$66,Energ.!$A63)*100</f>
        <v>90</v>
      </c>
      <c r="P11" s="2650">
        <f>HLOOKUP(Y$5,Energ.!$F$58:$N$66,Energ.!$A63)*100</f>
        <v>90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1.8000000000000003</v>
      </c>
      <c r="L12" s="1224"/>
      <c r="M12" s="2655">
        <f>HLOOKUP(V$5,Energ.!$F$58:$N$66,Energ.!$A64)</f>
        <v>1.8</v>
      </c>
      <c r="N12" s="2656">
        <f>HLOOKUP(W$5,Energ.!$F$58:$N$66,Energ.!$A64)</f>
        <v>1.8</v>
      </c>
      <c r="O12" s="2656">
        <f>HLOOKUP(X$5,Energ.!$F$58:$N$66,Energ.!$A64)</f>
        <v>1.8</v>
      </c>
      <c r="P12" s="2656">
        <f>HLOOKUP(Y$5,Energ.!$F$58:$N$66,Energ.!$A64)</f>
        <v>1.8</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1.6200000000000003</v>
      </c>
      <c r="L13" s="1231"/>
      <c r="M13" s="517">
        <f>M12*M11/100</f>
        <v>1.62</v>
      </c>
      <c r="N13" s="518">
        <f>N12*N11/100</f>
        <v>1.62</v>
      </c>
      <c r="O13" s="518">
        <f>O12*O11/100</f>
        <v>1.62</v>
      </c>
      <c r="P13" s="518">
        <f>P12*P11/100</f>
        <v>1.62</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74.2</v>
      </c>
      <c r="L14" s="1233"/>
      <c r="M14" s="865">
        <f>M6*(100-M8)/100</f>
        <v>26.6</v>
      </c>
      <c r="N14" s="866">
        <f>N6*(100-N8)/100</f>
        <v>18</v>
      </c>
      <c r="O14" s="866">
        <f>O6*(100-O8)/100</f>
        <v>14.4</v>
      </c>
      <c r="P14" s="866">
        <f>P6*(100-P8)/100</f>
        <v>15.2</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84.318181818181813</v>
      </c>
      <c r="L15" s="1233"/>
      <c r="M15" s="865">
        <f>IF(M10=0,0,M14/M10*100)</f>
        <v>30.22727272727273</v>
      </c>
      <c r="N15" s="866">
        <f>IF(N10=0,0,N14/N10*100)</f>
        <v>20.454545454545457</v>
      </c>
      <c r="O15" s="866">
        <f>IF(O10=0,0,O14/O10*100)</f>
        <v>16.363636363636363</v>
      </c>
      <c r="P15" s="866">
        <f>IF(P10=0,0,P14/P10*100)</f>
        <v>17.272727272727273</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46.843434343434353</v>
      </c>
      <c r="L16" s="3348"/>
      <c r="M16" s="1793">
        <f>IF(V5&lt;4,0,IF(M12=0,0,M15/M12))</f>
        <v>16.792929292929294</v>
      </c>
      <c r="N16" s="1794">
        <f>IF(W5&lt;4,0,IF(N12=0,0,N15/N12))</f>
        <v>11.363636363636365</v>
      </c>
      <c r="O16" s="1794">
        <f>IF(X5&lt;4,0,IF(O12=0,0,O15/O12))</f>
        <v>9.0909090909090899</v>
      </c>
      <c r="P16" s="1794">
        <f>IF(Y5&lt;4,0,IF(P12=0,0,P15/P12))</f>
        <v>9.5959595959595969</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70.490000000000009</v>
      </c>
      <c r="L17" s="1235"/>
      <c r="M17" s="865">
        <f>M14*(100-M9)/100</f>
        <v>25.27</v>
      </c>
      <c r="N17" s="870">
        <f>N14*(100-N9)/100</f>
        <v>17.100000000000001</v>
      </c>
      <c r="O17" s="870">
        <f>O14*(100-O9)/100</f>
        <v>13.68</v>
      </c>
      <c r="P17" s="870">
        <f>P14*(100-P9)/100</f>
        <v>14.44</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78.322222222222223</v>
      </c>
      <c r="L18" s="1235"/>
      <c r="M18" s="865">
        <f>IF(M11=0,0,M17/M11*100)</f>
        <v>28.077777777777779</v>
      </c>
      <c r="N18" s="870">
        <f>IF(N11=0,0,N17/N11*100)</f>
        <v>19</v>
      </c>
      <c r="O18" s="870">
        <f>IF(O11=0,0,O17/O11*100)</f>
        <v>15.2</v>
      </c>
      <c r="P18" s="870">
        <f>IF(P11=0,0,P17/P11*100)</f>
        <v>16.044444444444444</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5.5919137466307278</v>
      </c>
      <c r="L20" s="1238"/>
      <c r="M20" s="254">
        <v>5.8</v>
      </c>
      <c r="N20" s="255">
        <v>5.6</v>
      </c>
      <c r="O20" s="255">
        <v>5.4</v>
      </c>
      <c r="P20" s="255">
        <v>5.4</v>
      </c>
      <c r="Q20" s="256"/>
    </row>
    <row r="21" spans="1:34" s="433" customFormat="1" ht="14.95" customHeight="1" x14ac:dyDescent="0.2">
      <c r="A21" s="830"/>
      <c r="B21" s="876"/>
      <c r="C21" s="849"/>
      <c r="D21" s="78"/>
      <c r="E21" s="434"/>
      <c r="F21" s="877" t="s">
        <v>134</v>
      </c>
      <c r="G21" s="427">
        <v>0.6</v>
      </c>
      <c r="H21" s="852"/>
      <c r="J21" s="877" t="s">
        <v>135</v>
      </c>
      <c r="K21" s="1229">
        <f>(M$17*M21+N$17*N21+O$17*O21+P$17*P21+Q$17*Q21)/K$17</f>
        <v>9.3198562443845461</v>
      </c>
      <c r="L21" s="1238"/>
      <c r="M21" s="428">
        <f>IF($G21=0,0,M20/$G21)</f>
        <v>9.6666666666666661</v>
      </c>
      <c r="N21" s="429">
        <f>IF($G21=0,0,N20/$G21)</f>
        <v>9.3333333333333339</v>
      </c>
      <c r="O21" s="429">
        <f>IF($G21=0,0,O20/$G21)</f>
        <v>9.0000000000000018</v>
      </c>
      <c r="P21" s="429">
        <f>IF($G21=0,0,P20/$G21)</f>
        <v>9.0000000000000018</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3941.7400000000007</v>
      </c>
      <c r="L22" s="1240"/>
      <c r="M22" s="385">
        <f t="shared" ref="M22:Q23" si="0">M$17*M20*10</f>
        <v>1465.66</v>
      </c>
      <c r="N22" s="387">
        <f t="shared" si="0"/>
        <v>957.6</v>
      </c>
      <c r="O22" s="387">
        <f t="shared" si="0"/>
        <v>738.72</v>
      </c>
      <c r="P22" s="387">
        <f t="shared" si="0"/>
        <v>779.76</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6569.5666666666675</v>
      </c>
      <c r="L23" s="1242"/>
      <c r="M23" s="386">
        <f t="shared" si="0"/>
        <v>2442.7666666666664</v>
      </c>
      <c r="N23" s="388">
        <f t="shared" si="0"/>
        <v>1596.0000000000002</v>
      </c>
      <c r="O23" s="388">
        <f t="shared" si="0"/>
        <v>1231.2000000000003</v>
      </c>
      <c r="P23" s="388">
        <f t="shared" si="0"/>
        <v>1299.6000000000001</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270</v>
      </c>
      <c r="M25" s="886">
        <f>$L25*M7/100</f>
        <v>94.5</v>
      </c>
      <c r="N25" s="870">
        <f>$L25*N7/100</f>
        <v>67.5</v>
      </c>
      <c r="O25" s="870">
        <f>$L25*O7/100</f>
        <v>54</v>
      </c>
      <c r="P25" s="870">
        <f>$L25*P7/100</f>
        <v>54</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26</v>
      </c>
      <c r="C27" s="77"/>
      <c r="D27" s="79"/>
      <c r="E27" s="78"/>
      <c r="F27" s="78"/>
      <c r="G27" s="78"/>
      <c r="H27" s="434"/>
      <c r="I27" s="434"/>
      <c r="J27" s="434"/>
      <c r="K27" s="1245"/>
      <c r="L27" s="1246">
        <f>IF(B27=0,0,VLOOKUP(B27,Prämien!$C$8:$M$37,11))</f>
        <v>40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977.53273520000016</v>
      </c>
      <c r="M34" s="894">
        <f>$L34*M$7/100</f>
        <v>342.13645732000003</v>
      </c>
      <c r="N34" s="895">
        <f>$L34*N$7/100</f>
        <v>244.38318380000004</v>
      </c>
      <c r="O34" s="895">
        <f>$L34*O$7/100</f>
        <v>195.50654704000004</v>
      </c>
      <c r="P34" s="895">
        <f>$L34*P$7/100</f>
        <v>195.50654704000004</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2.72</v>
      </c>
      <c r="I36" s="112">
        <v>-50</v>
      </c>
      <c r="J36" s="913"/>
      <c r="K36" s="1255">
        <f>H36*$K$14+I36</f>
        <v>151.82400000000001</v>
      </c>
      <c r="L36" s="1256">
        <f>K36*$F36</f>
        <v>542.01168000000007</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434"/>
      <c r="H37" s="111">
        <v>0.8</v>
      </c>
      <c r="I37" s="112"/>
      <c r="J37" s="913"/>
      <c r="K37" s="1255">
        <f>H37*$K$14+I37</f>
        <v>59.360000000000007</v>
      </c>
      <c r="L37" s="1256">
        <f>K37*$F37</f>
        <v>153.99171200000004</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434"/>
      <c r="H38" s="111">
        <v>3.13</v>
      </c>
      <c r="I38" s="112"/>
      <c r="J38" s="913"/>
      <c r="K38" s="1255">
        <f>H38*$K$14+I38</f>
        <v>232.24600000000001</v>
      </c>
      <c r="L38" s="1256">
        <f>K38*$F38</f>
        <v>215.57073720000002</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823"/>
      <c r="H39" s="114">
        <v>0.45</v>
      </c>
      <c r="I39" s="115"/>
      <c r="J39" s="920"/>
      <c r="K39" s="1257">
        <f>H39*$K$14+I39</f>
        <v>33.39</v>
      </c>
      <c r="L39" s="1258">
        <f>K39*$F39</f>
        <v>65.958605999999989</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191.29688856889803</v>
      </c>
      <c r="M43" s="931">
        <f>SUM(Z46:Z56)</f>
        <v>49.713612264042688</v>
      </c>
      <c r="N43" s="931">
        <f>SUM(AA46:AA56)</f>
        <v>50.531805615267984</v>
      </c>
      <c r="O43" s="931">
        <f>SUM(AB46:AB56)</f>
        <v>48.325258289734386</v>
      </c>
      <c r="P43" s="931">
        <f>SUM(AC46:AC56)</f>
        <v>42.726212399852962</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4.95" customHeight="1" x14ac:dyDescent="0.2">
      <c r="A48" s="887" t="s">
        <v>282</v>
      </c>
      <c r="B48" s="1415">
        <v>22</v>
      </c>
      <c r="C48" s="103"/>
      <c r="D48" s="132"/>
      <c r="E48" s="438"/>
      <c r="F48" s="438"/>
      <c r="G48" s="399">
        <f>IF($B48=0,0,VLOOKUP($B48,Arbeitsgänge!$B$26:$M$78,6))</f>
        <v>0</v>
      </c>
      <c r="H48" s="424">
        <f>IF($B48=0,0,VLOOKUP($B48,Arbeitsgänge!$B$26:$O$78,11))</f>
        <v>10</v>
      </c>
      <c r="I48" s="400">
        <f>IF($B48=0,0,VLOOKUP($B48,Arbeitsgänge!$B$26:$T$79,12))</f>
        <v>0</v>
      </c>
      <c r="J48" s="493">
        <f t="shared" si="5"/>
        <v>0</v>
      </c>
      <c r="K48" s="1266">
        <f t="shared" si="1"/>
        <v>0</v>
      </c>
      <c r="L48" s="1256">
        <f t="shared" si="2"/>
        <v>0</v>
      </c>
      <c r="M48" s="259"/>
      <c r="N48" s="260"/>
      <c r="O48" s="260"/>
      <c r="P48" s="260"/>
      <c r="Q48" s="261"/>
      <c r="R48" s="449"/>
      <c r="S48" s="449"/>
      <c r="T48" s="406">
        <f t="shared" si="3"/>
        <v>0</v>
      </c>
      <c r="U48" s="407">
        <f t="shared" si="3"/>
        <v>0</v>
      </c>
      <c r="V48" s="407">
        <f t="shared" si="3"/>
        <v>0</v>
      </c>
      <c r="W48" s="407">
        <f t="shared" si="3"/>
        <v>0</v>
      </c>
      <c r="X48" s="408">
        <f t="shared" si="3"/>
        <v>0</v>
      </c>
      <c r="Y48" s="434"/>
      <c r="Z48" s="406">
        <f t="shared" si="4"/>
        <v>0</v>
      </c>
      <c r="AA48" s="407">
        <f t="shared" si="4"/>
        <v>0</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26</v>
      </c>
      <c r="C50" s="103"/>
      <c r="D50" s="132"/>
      <c r="E50" s="438"/>
      <c r="F50" s="438"/>
      <c r="G50" s="399">
        <f>IF($B50=0,0,VLOOKUP($B50,Arbeitsgänge!$B$26:$M$78,6))</f>
        <v>54</v>
      </c>
      <c r="H50" s="424">
        <f>IF($B50=0,0,VLOOKUP($B50,Arbeitsgänge!$B$26:$O$78,11))</f>
        <v>0.54</v>
      </c>
      <c r="I50" s="400">
        <f>IF($B50=0,0,VLOOKUP($B50,Arbeitsgänge!$B$26:$T$79,12))</f>
        <v>9.219927976000001</v>
      </c>
      <c r="J50" s="493">
        <f t="shared" si="5"/>
        <v>4</v>
      </c>
      <c r="K50" s="1266">
        <f t="shared" si="1"/>
        <v>2.16</v>
      </c>
      <c r="L50" s="1256">
        <f t="shared" si="2"/>
        <v>36.879711904000004</v>
      </c>
      <c r="M50" s="259">
        <v>1</v>
      </c>
      <c r="N50" s="260">
        <v>1</v>
      </c>
      <c r="O50" s="260">
        <v>1</v>
      </c>
      <c r="P50" s="260">
        <v>1</v>
      </c>
      <c r="Q50" s="261"/>
      <c r="R50" s="449"/>
      <c r="S50" s="449"/>
      <c r="T50" s="406">
        <f t="shared" si="3"/>
        <v>0.54</v>
      </c>
      <c r="U50" s="407">
        <f t="shared" si="3"/>
        <v>0.54</v>
      </c>
      <c r="V50" s="407">
        <f t="shared" si="3"/>
        <v>0.54</v>
      </c>
      <c r="W50" s="407">
        <f t="shared" si="3"/>
        <v>0.54</v>
      </c>
      <c r="X50" s="408">
        <f t="shared" si="3"/>
        <v>0</v>
      </c>
      <c r="Y50" s="434"/>
      <c r="Z50" s="406">
        <f t="shared" si="4"/>
        <v>9.219927976000001</v>
      </c>
      <c r="AA50" s="407">
        <f t="shared" si="4"/>
        <v>9.219927976000001</v>
      </c>
      <c r="AB50" s="407">
        <f t="shared" si="4"/>
        <v>9.219927976000001</v>
      </c>
      <c r="AC50" s="407">
        <f t="shared" si="4"/>
        <v>9.219927976000001</v>
      </c>
      <c r="AD50" s="408">
        <f t="shared" si="4"/>
        <v>0</v>
      </c>
      <c r="AE50" s="434"/>
      <c r="AF50" s="434"/>
      <c r="AG50" s="434"/>
      <c r="AH50" s="434"/>
      <c r="AI50" s="434"/>
      <c r="AJ50" s="434"/>
      <c r="AK50" s="434"/>
      <c r="AL50" s="434"/>
      <c r="AM50" s="434"/>
    </row>
    <row r="51" spans="1:39" s="436" customFormat="1" ht="14.95" customHeight="1" x14ac:dyDescent="0.2">
      <c r="A51" s="887" t="s">
        <v>282</v>
      </c>
      <c r="B51" s="1415">
        <v>30</v>
      </c>
      <c r="C51" s="103"/>
      <c r="D51" s="132"/>
      <c r="E51" s="438"/>
      <c r="F51" s="438"/>
      <c r="G51" s="399">
        <f>IF($B51=0,0,VLOOKUP($B51,Arbeitsgänge!$B$26:$M$78,6))</f>
        <v>45</v>
      </c>
      <c r="H51" s="424">
        <f>IF($B51=0,0,VLOOKUP($B51,Arbeitsgänge!$B$26:$O$78,11))</f>
        <v>0.35</v>
      </c>
      <c r="I51" s="400">
        <f>IF($B51=0,0,VLOOKUP($B51,Arbeitsgänge!$B$26:$T$79,12))</f>
        <v>6.0893897399999997</v>
      </c>
      <c r="J51" s="493">
        <f t="shared" si="5"/>
        <v>10</v>
      </c>
      <c r="K51" s="1266">
        <f t="shared" si="1"/>
        <v>3.5</v>
      </c>
      <c r="L51" s="1256">
        <f t="shared" si="2"/>
        <v>60.8938974</v>
      </c>
      <c r="M51" s="259">
        <v>2</v>
      </c>
      <c r="N51" s="260">
        <v>3</v>
      </c>
      <c r="O51" s="260">
        <v>3</v>
      </c>
      <c r="P51" s="260">
        <v>2</v>
      </c>
      <c r="Q51" s="261"/>
      <c r="R51" s="449"/>
      <c r="S51" s="449"/>
      <c r="T51" s="406">
        <f t="shared" si="3"/>
        <v>0.7</v>
      </c>
      <c r="U51" s="407">
        <f t="shared" si="3"/>
        <v>1.0499999999999998</v>
      </c>
      <c r="V51" s="407">
        <f t="shared" si="3"/>
        <v>1.0499999999999998</v>
      </c>
      <c r="W51" s="407">
        <f t="shared" si="3"/>
        <v>0.7</v>
      </c>
      <c r="X51" s="408">
        <f t="shared" si="3"/>
        <v>0</v>
      </c>
      <c r="Y51" s="434"/>
      <c r="Z51" s="406">
        <f t="shared" si="4"/>
        <v>12.178779479999999</v>
      </c>
      <c r="AA51" s="407">
        <f t="shared" si="4"/>
        <v>18.268169219999997</v>
      </c>
      <c r="AB51" s="407">
        <f t="shared" si="4"/>
        <v>18.268169219999997</v>
      </c>
      <c r="AC51" s="407">
        <f t="shared" si="4"/>
        <v>12.178779479999999</v>
      </c>
      <c r="AD51" s="408">
        <f t="shared" si="4"/>
        <v>0</v>
      </c>
      <c r="AE51" s="434"/>
      <c r="AF51" s="434"/>
      <c r="AG51" s="434"/>
      <c r="AH51" s="434"/>
      <c r="AI51" s="434"/>
      <c r="AJ51" s="434"/>
      <c r="AK51" s="434"/>
      <c r="AL51" s="434"/>
      <c r="AM51" s="434"/>
    </row>
    <row r="52" spans="1:39" s="436" customFormat="1" ht="14.95" customHeight="1" x14ac:dyDescent="0.2">
      <c r="A52" s="887" t="s">
        <v>282</v>
      </c>
      <c r="B52" s="1415">
        <v>32</v>
      </c>
      <c r="C52" s="103"/>
      <c r="D52" s="132"/>
      <c r="E52" s="438"/>
      <c r="F52" s="438"/>
      <c r="G52" s="399">
        <f>IF($B52=0,0,VLOOKUP($B52,Arbeitsgänge!$B$26:$M$78,6))</f>
        <v>83</v>
      </c>
      <c r="H52" s="424">
        <f>IF($B52=0,0,VLOOKUP($B52,Arbeitsgänge!$B$26:$O$78,11))</f>
        <v>0.26</v>
      </c>
      <c r="I52" s="400">
        <f>IF($B52=0,0,VLOOKUP($B52,Arbeitsgänge!$B$26:$T$79,12))</f>
        <v>7.3773665359999994</v>
      </c>
      <c r="J52" s="493">
        <f t="shared" si="5"/>
        <v>4</v>
      </c>
      <c r="K52" s="1266"/>
      <c r="L52" s="1256"/>
      <c r="M52" s="259">
        <v>1</v>
      </c>
      <c r="N52" s="260">
        <v>1</v>
      </c>
      <c r="O52" s="260">
        <v>1</v>
      </c>
      <c r="P52" s="260">
        <v>1</v>
      </c>
      <c r="Q52" s="261"/>
      <c r="R52" s="449"/>
      <c r="S52" s="449"/>
      <c r="T52" s="406">
        <f t="shared" si="3"/>
        <v>0.26</v>
      </c>
      <c r="U52" s="407">
        <f t="shared" si="3"/>
        <v>0.26</v>
      </c>
      <c r="V52" s="407">
        <f t="shared" si="3"/>
        <v>0.26</v>
      </c>
      <c r="W52" s="407">
        <f t="shared" si="3"/>
        <v>0.26</v>
      </c>
      <c r="X52" s="408">
        <f t="shared" si="3"/>
        <v>0</v>
      </c>
      <c r="Y52" s="434"/>
      <c r="Z52" s="406">
        <f t="shared" si="4"/>
        <v>7.3773665359999994</v>
      </c>
      <c r="AA52" s="407">
        <f t="shared" si="4"/>
        <v>7.3773665359999994</v>
      </c>
      <c r="AB52" s="407">
        <f t="shared" si="4"/>
        <v>7.3773665359999994</v>
      </c>
      <c r="AC52" s="407">
        <f t="shared" si="4"/>
        <v>7.3773665359999994</v>
      </c>
      <c r="AD52" s="408">
        <f t="shared" si="4"/>
        <v>0</v>
      </c>
      <c r="AE52" s="434"/>
      <c r="AF52" s="434"/>
      <c r="AG52" s="434"/>
      <c r="AH52" s="434"/>
      <c r="AI52" s="434"/>
      <c r="AJ52" s="434"/>
      <c r="AK52" s="434"/>
      <c r="AL52" s="434"/>
      <c r="AM52" s="434"/>
    </row>
    <row r="53" spans="1:39" s="436" customFormat="1" ht="14.95" customHeight="1" x14ac:dyDescent="0.2">
      <c r="A53" s="887" t="s">
        <v>282</v>
      </c>
      <c r="B53" s="1415">
        <v>41</v>
      </c>
      <c r="C53" s="103"/>
      <c r="D53" s="132"/>
      <c r="E53" s="438"/>
      <c r="F53" s="438"/>
      <c r="G53" s="399">
        <f>IF($B53=0,0,VLOOKUP($B53,Arbeitsgänge!$B$26:$M$78,6))</f>
        <v>67</v>
      </c>
      <c r="H53" s="424">
        <f>IF($B53=0,0,VLOOKUP($B53,Arbeitsgänge!$B$26:$O$78,11))</f>
        <v>0.68</v>
      </c>
      <c r="I53" s="400">
        <f>IF($B53=0,0,VLOOKUP($B53,Arbeitsgänge!$B$26:$T$79,12))</f>
        <v>12.405699408</v>
      </c>
      <c r="J53" s="493">
        <f t="shared" si="5"/>
        <v>3.6660079051383403</v>
      </c>
      <c r="K53" s="1266">
        <f t="shared" si="1"/>
        <v>2.4928853754940716</v>
      </c>
      <c r="L53" s="1256">
        <f t="shared" si="2"/>
        <v>45.479392098498032</v>
      </c>
      <c r="M53" s="259">
        <f>M15/23</f>
        <v>1.3142292490118579</v>
      </c>
      <c r="N53" s="260">
        <f t="shared" ref="N53:Q53" si="6">N15/23</f>
        <v>0.8893280632411068</v>
      </c>
      <c r="O53" s="260">
        <f t="shared" si="6"/>
        <v>0.71146245059288538</v>
      </c>
      <c r="P53" s="260">
        <f t="shared" si="6"/>
        <v>0.75098814229249011</v>
      </c>
      <c r="Q53" s="261">
        <f t="shared" si="6"/>
        <v>0</v>
      </c>
      <c r="R53" s="449"/>
      <c r="S53" s="449"/>
      <c r="T53" s="406">
        <f t="shared" si="3"/>
        <v>0.89367588932806341</v>
      </c>
      <c r="U53" s="407">
        <f t="shared" si="3"/>
        <v>0.60474308300395263</v>
      </c>
      <c r="V53" s="407">
        <f t="shared" si="3"/>
        <v>0.48379446640316209</v>
      </c>
      <c r="W53" s="407">
        <f t="shared" si="3"/>
        <v>0.51067193675889333</v>
      </c>
      <c r="X53" s="408">
        <f t="shared" si="3"/>
        <v>0</v>
      </c>
      <c r="Y53" s="434"/>
      <c r="Z53" s="406">
        <f t="shared" si="4"/>
        <v>16.303933016442691</v>
      </c>
      <c r="AA53" s="407">
        <f t="shared" si="4"/>
        <v>11.032736627667985</v>
      </c>
      <c r="AB53" s="407">
        <f t="shared" si="4"/>
        <v>8.826189302134388</v>
      </c>
      <c r="AC53" s="407">
        <f t="shared" si="4"/>
        <v>9.3165331522529637</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10.532885375494072</v>
      </c>
      <c r="L57" s="1270"/>
      <c r="M57" s="944">
        <f>SUM(T46:T56)</f>
        <v>2.7286758893280636</v>
      </c>
      <c r="N57" s="945">
        <f>SUM(U46:U56)</f>
        <v>2.7897430830039522</v>
      </c>
      <c r="O57" s="945">
        <f>SUM(V46:V56)</f>
        <v>2.6687944664031615</v>
      </c>
      <c r="P57" s="945">
        <f>SUM(W46:W56)</f>
        <v>2.3456719367588934</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60</v>
      </c>
      <c r="H58" s="800" t="s">
        <v>487</v>
      </c>
      <c r="I58" s="800"/>
      <c r="J58" s="950"/>
      <c r="K58" s="1271">
        <f>SUM(M58:Q58)</f>
        <v>16.852616600790512</v>
      </c>
      <c r="L58" s="1272"/>
      <c r="M58" s="951">
        <f>M57+M57*$G$58/100</f>
        <v>4.3658814229249021</v>
      </c>
      <c r="N58" s="952">
        <f>N57+N57*$G$58/100</f>
        <v>4.4635889328063234</v>
      </c>
      <c r="O58" s="952">
        <f>O57+O57*$G$58/100</f>
        <v>4.2700711462450585</v>
      </c>
      <c r="P58" s="952">
        <f>P57+P57*$G$58/100</f>
        <v>3.7530750988142296</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238.44474747474746</v>
      </c>
      <c r="M59" s="886">
        <f>SUM(T61:T63)</f>
        <v>83.801843434343425</v>
      </c>
      <c r="N59" s="870">
        <f>SUM(U61:U63)</f>
        <v>57.958409090909093</v>
      </c>
      <c r="O59" s="870">
        <f>SUM(V61:V63)</f>
        <v>47.140227272727266</v>
      </c>
      <c r="P59" s="870">
        <f>SUM(W61:W63)</f>
        <v>49.544267676767674</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7">IF(N61&lt;&gt;0,N61*$H61,0)</f>
        <v>3.8674999999999997</v>
      </c>
      <c r="V61" s="494">
        <f t="shared" si="7"/>
        <v>3.8674999999999997</v>
      </c>
      <c r="W61" s="494">
        <f t="shared" si="7"/>
        <v>3.8674999999999997</v>
      </c>
      <c r="X61" s="494">
        <f t="shared" si="7"/>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988" t="s">
        <v>1092</v>
      </c>
      <c r="E62" s="2078"/>
      <c r="F62" s="2078"/>
      <c r="G62" s="2243">
        <v>6</v>
      </c>
      <c r="H62" s="755">
        <f>G62*(100+$H$59)/100</f>
        <v>7.14</v>
      </c>
      <c r="I62" s="756"/>
      <c r="J62" s="2070">
        <f>SUM(M62:Q62)</f>
        <v>31.228956228956228</v>
      </c>
      <c r="K62" s="1718"/>
      <c r="L62" s="1284">
        <f>J62*H62</f>
        <v>222.97474747474746</v>
      </c>
      <c r="M62" s="2244">
        <f>M15/2.7</f>
        <v>11.195286195286196</v>
      </c>
      <c r="N62" s="2245">
        <f>N15/2.7</f>
        <v>7.5757575757575761</v>
      </c>
      <c r="O62" s="2245">
        <f>O15/2.7</f>
        <v>6.0606060606060597</v>
      </c>
      <c r="P62" s="2245">
        <f>P15/2.7</f>
        <v>6.3973063973063971</v>
      </c>
      <c r="Q62" s="2246">
        <f>Q15/2.7</f>
        <v>0</v>
      </c>
      <c r="R62" s="449"/>
      <c r="S62" s="449"/>
      <c r="T62" s="494">
        <f>IF(M62&lt;&gt;0,M62*$H62,0)</f>
        <v>79.934343434343432</v>
      </c>
      <c r="U62" s="494">
        <f t="shared" si="7"/>
        <v>54.090909090909093</v>
      </c>
      <c r="V62" s="494">
        <f t="shared" si="7"/>
        <v>43.272727272727266</v>
      </c>
      <c r="W62" s="494">
        <f t="shared" si="7"/>
        <v>45.676767676767675</v>
      </c>
      <c r="X62" s="494">
        <f t="shared" si="7"/>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7"/>
        <v>0</v>
      </c>
      <c r="V63" s="494">
        <f t="shared" si="7"/>
        <v>0</v>
      </c>
      <c r="W63" s="494">
        <f t="shared" si="7"/>
        <v>0</v>
      </c>
      <c r="X63" s="494">
        <f t="shared" si="7"/>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0.88</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220.44750000000005</v>
      </c>
      <c r="M67" s="886">
        <f t="shared" si="8"/>
        <v>140.28477272727275</v>
      </c>
      <c r="N67" s="870">
        <f t="shared" si="8"/>
        <v>0</v>
      </c>
      <c r="O67" s="870">
        <f t="shared" si="8"/>
        <v>0</v>
      </c>
      <c r="P67" s="870">
        <f t="shared" si="8"/>
        <v>80.162727272727281</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805" t="s">
        <v>1096</v>
      </c>
      <c r="E69" s="2683"/>
      <c r="F69" s="2682"/>
      <c r="G69" s="2684"/>
      <c r="H69" s="2806" t="s">
        <v>1097</v>
      </c>
      <c r="I69" s="2686">
        <f>Preise!M61</f>
        <v>4.641</v>
      </c>
      <c r="K69" s="1285"/>
      <c r="L69" s="1286">
        <f>SUM(M69:Q69)</f>
        <v>220.44750000000005</v>
      </c>
      <c r="M69" s="2687">
        <f>$I$69*M15</f>
        <v>140.28477272727275</v>
      </c>
      <c r="N69" s="2688"/>
      <c r="O69" s="2688"/>
      <c r="P69" s="2688">
        <f t="shared" ref="P69:Q69" si="9">$I$69*P15</f>
        <v>80.162727272727281</v>
      </c>
      <c r="Q69" s="2689">
        <f t="shared" si="9"/>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46.843434343434353</v>
      </c>
      <c r="L77" s="2121">
        <f t="shared" si="10"/>
        <v>0</v>
      </c>
      <c r="M77" s="2121">
        <f t="shared" si="10"/>
        <v>16.792929292929294</v>
      </c>
      <c r="N77" s="2121">
        <f t="shared" si="10"/>
        <v>11.363636363636365</v>
      </c>
      <c r="O77" s="2121">
        <f t="shared" si="10"/>
        <v>9.0909090909090899</v>
      </c>
      <c r="P77" s="2121">
        <f t="shared" si="10"/>
        <v>9.5959595959595969</v>
      </c>
      <c r="Q77" s="2121">
        <f t="shared" si="10"/>
        <v>0</v>
      </c>
    </row>
    <row r="78" spans="1:38" x14ac:dyDescent="0.2">
      <c r="D78" s="2121" t="s">
        <v>558</v>
      </c>
      <c r="E78" s="2121"/>
      <c r="F78" s="2121"/>
      <c r="G78" s="2121"/>
      <c r="H78" s="2121"/>
      <c r="I78" s="2121"/>
      <c r="J78" s="2121" t="s">
        <v>559</v>
      </c>
      <c r="K78" s="2121"/>
      <c r="L78" s="2121"/>
      <c r="M78" s="2121">
        <f>HLOOKUP(V$5,Energ.!$F$58:$N$66,Energ.!$A$65)</f>
        <v>7.2976749999999999</v>
      </c>
      <c r="N78" s="2121">
        <f>HLOOKUP(W$5,Energ.!$F$58:$N$66,Energ.!$A$65)</f>
        <v>2.9839249999999997</v>
      </c>
      <c r="O78" s="2121">
        <f>HLOOKUP(X$5,Energ.!$F$58:$N$66,Energ.!$A$65)</f>
        <v>2.9839249999999997</v>
      </c>
      <c r="P78" s="2121">
        <f>HLOOKUP(Y$5,Energ.!$F$58:$N$66,Energ.!$A$65)</f>
        <v>7.2976749999999999</v>
      </c>
      <c r="Q78" s="2121">
        <f>HLOOKUP(Z$5,Energ.!$F$58:$N$66,Energ.!$A$65)</f>
        <v>0</v>
      </c>
    </row>
    <row r="79" spans="1:38" x14ac:dyDescent="0.2">
      <c r="D79" s="2121" t="s">
        <v>558</v>
      </c>
      <c r="E79" s="2121"/>
      <c r="F79" s="2121"/>
      <c r="G79" s="2121"/>
      <c r="H79" s="2121"/>
      <c r="I79" s="2121"/>
      <c r="J79" s="2121" t="s">
        <v>154</v>
      </c>
      <c r="K79" s="2121">
        <f>SUM(M79:P79)</f>
        <v>253.61236426767681</v>
      </c>
      <c r="L79" s="2121"/>
      <c r="M79" s="2121">
        <f>M78*M16</f>
        <v>122.54934027777779</v>
      </c>
      <c r="N79" s="2121">
        <f>N78*N16</f>
        <v>33.908238636363635</v>
      </c>
      <c r="O79" s="2121">
        <f>O78*O16</f>
        <v>27.126590909090904</v>
      </c>
      <c r="P79" s="2121">
        <f>P78*P16</f>
        <v>70.028194444444452</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P20" sqref="P20"/>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5953"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45954"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45955"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45956"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45957" r:id="rId9" name="Drop Down 5">
              <controlPr defaultSize="0" autoLine="0" autoPict="0">
                <anchor moveWithCells="1">
                  <from>
                    <xdr:col>2</xdr:col>
                    <xdr:colOff>34506</xdr:colOff>
                    <xdr:row>45</xdr:row>
                    <xdr:rowOff>8626</xdr:rowOff>
                  </from>
                  <to>
                    <xdr:col>5</xdr:col>
                    <xdr:colOff>629728</xdr:colOff>
                    <xdr:row>45</xdr:row>
                    <xdr:rowOff>181155</xdr:rowOff>
                  </to>
                </anchor>
              </controlPr>
            </control>
          </mc:Choice>
        </mc:AlternateContent>
        <mc:AlternateContent xmlns:mc="http://schemas.openxmlformats.org/markup-compatibility/2006">
          <mc:Choice Requires="x14">
            <control shapeId="2045958"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45959"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45960"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45961" r:id="rId13" name="Drop Down 9">
              <controlPr defaultSize="0" autoLine="0" autoPict="0">
                <anchor moveWithCells="1">
                  <from>
                    <xdr:col>2</xdr:col>
                    <xdr:colOff>34506</xdr:colOff>
                    <xdr:row>49</xdr:row>
                    <xdr:rowOff>25879</xdr:rowOff>
                  </from>
                  <to>
                    <xdr:col>5</xdr:col>
                    <xdr:colOff>612475</xdr:colOff>
                    <xdr:row>50</xdr:row>
                    <xdr:rowOff>43132</xdr:rowOff>
                  </to>
                </anchor>
              </controlPr>
            </control>
          </mc:Choice>
        </mc:AlternateContent>
        <mc:AlternateContent xmlns:mc="http://schemas.openxmlformats.org/markup-compatibility/2006">
          <mc:Choice Requires="x14">
            <control shapeId="2045962" r:id="rId14" name="Drop Down 10">
              <controlPr defaultSize="0" autoLine="0" autoPict="0">
                <anchor moveWithCells="1">
                  <from>
                    <xdr:col>2</xdr:col>
                    <xdr:colOff>34506</xdr:colOff>
                    <xdr:row>50</xdr:row>
                    <xdr:rowOff>34506</xdr:rowOff>
                  </from>
                  <to>
                    <xdr:col>5</xdr:col>
                    <xdr:colOff>612475</xdr:colOff>
                    <xdr:row>51</xdr:row>
                    <xdr:rowOff>43132</xdr:rowOff>
                  </to>
                </anchor>
              </controlPr>
            </control>
          </mc:Choice>
        </mc:AlternateContent>
        <mc:AlternateContent xmlns:mc="http://schemas.openxmlformats.org/markup-compatibility/2006">
          <mc:Choice Requires="x14">
            <control shapeId="2045963" r:id="rId15" name="Drop Down 11">
              <controlPr defaultSize="0" autoLine="0" autoPict="0">
                <anchor moveWithCells="1">
                  <from>
                    <xdr:col>2</xdr:col>
                    <xdr:colOff>34506</xdr:colOff>
                    <xdr:row>51</xdr:row>
                    <xdr:rowOff>34506</xdr:rowOff>
                  </from>
                  <to>
                    <xdr:col>5</xdr:col>
                    <xdr:colOff>612475</xdr:colOff>
                    <xdr:row>52</xdr:row>
                    <xdr:rowOff>25879</xdr:rowOff>
                  </to>
                </anchor>
              </controlPr>
            </control>
          </mc:Choice>
        </mc:AlternateContent>
        <mc:AlternateContent xmlns:mc="http://schemas.openxmlformats.org/markup-compatibility/2006">
          <mc:Choice Requires="x14">
            <control shapeId="2045964" r:id="rId16" name="Drop Down 12">
              <controlPr defaultSize="0" autoLine="0" autoPict="0">
                <anchor moveWithCells="1">
                  <from>
                    <xdr:col>2</xdr:col>
                    <xdr:colOff>34506</xdr:colOff>
                    <xdr:row>52</xdr:row>
                    <xdr:rowOff>25879</xdr:rowOff>
                  </from>
                  <to>
                    <xdr:col>5</xdr:col>
                    <xdr:colOff>629728</xdr:colOff>
                    <xdr:row>53</xdr:row>
                    <xdr:rowOff>25879</xdr:rowOff>
                  </to>
                </anchor>
              </controlPr>
            </control>
          </mc:Choice>
        </mc:AlternateContent>
        <mc:AlternateContent xmlns:mc="http://schemas.openxmlformats.org/markup-compatibility/2006">
          <mc:Choice Requires="x14">
            <control shapeId="2045965" r:id="rId17" name="Drop Down 13">
              <controlPr defaultSize="0" autoLine="0" autoPict="0">
                <anchor moveWithCells="1">
                  <from>
                    <xdr:col>2</xdr:col>
                    <xdr:colOff>34506</xdr:colOff>
                    <xdr:row>53</xdr:row>
                    <xdr:rowOff>25879</xdr:rowOff>
                  </from>
                  <to>
                    <xdr:col>5</xdr:col>
                    <xdr:colOff>629728</xdr:colOff>
                    <xdr:row>54</xdr:row>
                    <xdr:rowOff>8626</xdr:rowOff>
                  </to>
                </anchor>
              </controlPr>
            </control>
          </mc:Choice>
        </mc:AlternateContent>
        <mc:AlternateContent xmlns:mc="http://schemas.openxmlformats.org/markup-compatibility/2006">
          <mc:Choice Requires="x14">
            <control shapeId="2045966" r:id="rId18" name="Drop Down 14">
              <controlPr defaultSize="0" autoLine="0" autoPict="0">
                <anchor moveWithCells="1">
                  <from>
                    <xdr:col>2</xdr:col>
                    <xdr:colOff>34506</xdr:colOff>
                    <xdr:row>54</xdr:row>
                    <xdr:rowOff>25879</xdr:rowOff>
                  </from>
                  <to>
                    <xdr:col>5</xdr:col>
                    <xdr:colOff>629728</xdr:colOff>
                    <xdr:row>55</xdr:row>
                    <xdr:rowOff>25879</xdr:rowOff>
                  </to>
                </anchor>
              </controlPr>
            </control>
          </mc:Choice>
        </mc:AlternateContent>
        <mc:AlternateContent xmlns:mc="http://schemas.openxmlformats.org/markup-compatibility/2006">
          <mc:Choice Requires="x14">
            <control shapeId="2045967" r:id="rId19" name="Drop Down 15">
              <controlPr defaultSize="0" autoLine="0" autoPict="0">
                <anchor moveWithCells="1">
                  <from>
                    <xdr:col>2</xdr:col>
                    <xdr:colOff>60385</xdr:colOff>
                    <xdr:row>55</xdr:row>
                    <xdr:rowOff>8626</xdr:rowOff>
                  </from>
                  <to>
                    <xdr:col>5</xdr:col>
                    <xdr:colOff>629728</xdr:colOff>
                    <xdr:row>56</xdr:row>
                    <xdr:rowOff>8626</xdr:rowOff>
                  </to>
                </anchor>
              </controlPr>
            </control>
          </mc:Choice>
        </mc:AlternateContent>
        <mc:AlternateContent xmlns:mc="http://schemas.openxmlformats.org/markup-compatibility/2006">
          <mc:Choice Requires="x14">
            <control shapeId="2045968"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45969"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45970"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45971"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45972"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45973"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S98"/>
  <sheetViews>
    <sheetView showGridLines="0" showZeros="0" zoomScale="80" zoomScaleNormal="80" workbookViewId="0">
      <pane xSplit="13" ySplit="5" topLeftCell="N6"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'HeuTr. 4(a)'!K2</f>
        <v>Wiese 4xHeu</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'HeuTr. 4(a)'!H3</f>
        <v xml:space="preserve">4x Heu, eigenmechanisiert, Rundballen, 1. und 4. Schnitt mit Trocknung, Übersaat alle fünf Jahre </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'HeuTr. 4(a)'!M5</f>
        <v>HeuTrocknung</v>
      </c>
      <c r="O5" s="2679" t="str">
        <f>'HeuTr. 4(a)'!N5</f>
        <v>HeuBoden</v>
      </c>
      <c r="P5" s="2679" t="str">
        <f>'HeuTr. 4(a)'!O5</f>
        <v>HeuBoden</v>
      </c>
      <c r="Q5" s="2679" t="str">
        <f>'HeuTr. 4(a)'!P5</f>
        <v>HeuTrocknung</v>
      </c>
      <c r="R5" s="2680">
        <f>'HeuTr. 4(a)'!Q5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'HeuTr. 4(a)'!K6</f>
        <v>80</v>
      </c>
      <c r="N6" s="1361">
        <f>'HeuTr. 4(a)'!M6</f>
        <v>28</v>
      </c>
      <c r="O6" s="1361">
        <f>'HeuTr. 4(a)'!N6</f>
        <v>20</v>
      </c>
      <c r="P6" s="1361">
        <f>'HeuTr. 4(a)'!O6</f>
        <v>16</v>
      </c>
      <c r="Q6" s="1361">
        <f>'HeuTr. 4(a)'!P6</f>
        <v>16</v>
      </c>
      <c r="R6" s="1362">
        <f>'HeuTr. 4(a)'!Q6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'HeuTr. 4(a)'!K14</f>
        <v>74.2</v>
      </c>
      <c r="N7" s="391">
        <f>'HeuTr. 4(a)'!M14</f>
        <v>26.6</v>
      </c>
      <c r="O7" s="391">
        <f>'HeuTr. 4(a)'!N14</f>
        <v>18</v>
      </c>
      <c r="P7" s="391">
        <f>'HeuTr. 4(a)'!O14</f>
        <v>14.4</v>
      </c>
      <c r="Q7" s="391">
        <f>'HeuTr. 4(a)'!P14</f>
        <v>15.2</v>
      </c>
      <c r="R7" s="1299">
        <f>'HeuTr. 4(a)'!Q14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'HeuTr. 4(a)'!K15</f>
        <v>84.318181818181813</v>
      </c>
      <c r="N8" s="404">
        <f>'HeuTr. 4(a)'!M15</f>
        <v>30.22727272727273</v>
      </c>
      <c r="O8" s="404">
        <f>'HeuTr. 4(a)'!N15</f>
        <v>20.454545454545457</v>
      </c>
      <c r="P8" s="404">
        <f>'HeuTr. 4(a)'!O15</f>
        <v>16.363636363636363</v>
      </c>
      <c r="Q8" s="404">
        <f>'HeuTr. 4(a)'!P15</f>
        <v>17.272727272727273</v>
      </c>
      <c r="R8" s="1201">
        <f>'HeuTr. 4(a)'!Q15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'HeuTr. 4(a)'!K17</f>
        <v>70.490000000000009</v>
      </c>
      <c r="N9" s="391">
        <f>'HeuTr. 4(a)'!M17</f>
        <v>25.27</v>
      </c>
      <c r="O9" s="391">
        <f>'HeuTr. 4(a)'!N17</f>
        <v>17.100000000000001</v>
      </c>
      <c r="P9" s="391">
        <f>'HeuTr. 4(a)'!O17</f>
        <v>13.68</v>
      </c>
      <c r="Q9" s="391">
        <f>'HeuTr. 4(a)'!P17</f>
        <v>14.44</v>
      </c>
      <c r="R9" s="1299">
        <f>'HeuTr. 4(a)'!Q17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'HeuTr. 4(a)'!K18</f>
        <v>78.322222222222223</v>
      </c>
      <c r="N10" s="1303">
        <f>'HeuTr. 4(a)'!M18</f>
        <v>28.077777777777779</v>
      </c>
      <c r="O10" s="1303">
        <f>'HeuTr. 4(a)'!N18</f>
        <v>19</v>
      </c>
      <c r="P10" s="1303">
        <f>'HeuTr. 4(a)'!O18</f>
        <v>15.2</v>
      </c>
      <c r="Q10" s="1303">
        <f>'HeuTr. 4(a)'!P18</f>
        <v>16.044444444444444</v>
      </c>
      <c r="R10" s="1300">
        <f>'HeuTr. 4(a)'!Q18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'HeuTr. 4(a)'!K19</f>
        <v>0</v>
      </c>
      <c r="N11" s="1551">
        <f>'HeuTr. 4(a)'!L19</f>
        <v>0</v>
      </c>
      <c r="O11" s="1551">
        <f>'HeuTr. 4(a)'!M19</f>
        <v>0</v>
      </c>
      <c r="P11" s="1551">
        <f>'HeuTr. 4(a)'!N19</f>
        <v>0</v>
      </c>
      <c r="Q11" s="1551">
        <f>'HeuTr. 4(a)'!O19</f>
        <v>0</v>
      </c>
      <c r="R11" s="1552">
        <f>'HeuTr. 4(a)'!P19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'HeuTr. 4(a)'!K22</f>
        <v>3941.7400000000007</v>
      </c>
      <c r="N12" s="967">
        <f>'HeuTr. 4(a)'!M22</f>
        <v>1465.66</v>
      </c>
      <c r="O12" s="967">
        <f>'HeuTr. 4(a)'!N22</f>
        <v>957.6</v>
      </c>
      <c r="P12" s="967">
        <f>'HeuTr. 4(a)'!O22</f>
        <v>738.72</v>
      </c>
      <c r="Q12" s="967">
        <f>'HeuTr. 4(a)'!P22</f>
        <v>779.76</v>
      </c>
      <c r="R12" s="1302">
        <f>'HeuTr. 4(a)'!Q22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'HeuTr. 4(a)'!K23</f>
        <v>6569.5666666666675</v>
      </c>
      <c r="N13" s="1521">
        <f>'HeuTr. 4(a)'!M23</f>
        <v>2442.7666666666664</v>
      </c>
      <c r="O13" s="1521">
        <f>'HeuTr. 4(a)'!N23</f>
        <v>1596.0000000000002</v>
      </c>
      <c r="P13" s="1521">
        <f>'HeuTr. 4(a)'!O23</f>
        <v>1231.2000000000003</v>
      </c>
      <c r="Q13" s="1521">
        <f>'HeuTr. 4(a)'!P23</f>
        <v>1299.6000000000001</v>
      </c>
      <c r="R13" s="1523">
        <f>'HeuTr. 4(a)'!Q23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270</v>
      </c>
      <c r="N16" s="2139">
        <f t="shared" si="1"/>
        <v>94.5</v>
      </c>
      <c r="O16" s="1553">
        <f t="shared" si="1"/>
        <v>67.5</v>
      </c>
      <c r="P16" s="2139">
        <f t="shared" si="1"/>
        <v>54</v>
      </c>
      <c r="Q16" s="1553">
        <f t="shared" si="1"/>
        <v>54</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540</v>
      </c>
      <c r="N17" s="2133">
        <f t="shared" si="2"/>
        <v>189</v>
      </c>
      <c r="O17" s="1521">
        <f t="shared" si="2"/>
        <v>135</v>
      </c>
      <c r="P17" s="2133">
        <f t="shared" si="2"/>
        <v>108</v>
      </c>
      <c r="Q17" s="1521">
        <f t="shared" si="2"/>
        <v>108</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'HeuTr. 4(a)'!L32</f>
        <v>29.424999999999997</v>
      </c>
      <c r="N19" s="1527">
        <f>'HeuTr. 4(a)'!M32</f>
        <v>10.29875</v>
      </c>
      <c r="O19" s="1527">
        <f>'HeuTr. 4(a)'!N32</f>
        <v>7.3562499999999993</v>
      </c>
      <c r="P19" s="1527">
        <f>'HeuTr. 4(a)'!O32</f>
        <v>5.8849999999999998</v>
      </c>
      <c r="Q19" s="1527">
        <f>'HeuTr. 4(a)'!P32</f>
        <v>5.8849999999999998</v>
      </c>
      <c r="R19" s="1529">
        <f>'HeuTr. 4(a)'!Q32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'HeuTr. 4(a)'!L34</f>
        <v>977.53273520000016</v>
      </c>
      <c r="N20" s="235">
        <f>'HeuTr. 4(a)'!M34</f>
        <v>342.13645732000003</v>
      </c>
      <c r="O20" s="235">
        <f>'HeuTr. 4(a)'!N34</f>
        <v>244.38318380000004</v>
      </c>
      <c r="P20" s="235">
        <f>'HeuTr. 4(a)'!O34</f>
        <v>195.50654704000004</v>
      </c>
      <c r="Q20" s="235">
        <f>'HeuTr. 4(a)'!P34</f>
        <v>195.50654704000004</v>
      </c>
      <c r="R20" s="1192">
        <f>'HeuTr. 4(a)'!Q34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'HeuTr. 4(a)'!L40</f>
        <v>0</v>
      </c>
      <c r="N21" s="235">
        <f>'HeuTr. 4(a)'!M40</f>
        <v>0</v>
      </c>
      <c r="O21" s="235">
        <f>'HeuTr. 4(a)'!N40</f>
        <v>0</v>
      </c>
      <c r="P21" s="235">
        <f>'HeuTr. 4(a)'!O40</f>
        <v>0</v>
      </c>
      <c r="Q21" s="235">
        <f>'HeuTr. 4(a)'!P40</f>
        <v>0</v>
      </c>
      <c r="R21" s="1192">
        <f>'HeuTr. 4(a)'!Q40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'HeuTr. 4(a)'!L67</f>
        <v>220.44750000000005</v>
      </c>
      <c r="N23" s="235">
        <f>'HeuTr. 4(a)'!M67</f>
        <v>140.28477272727275</v>
      </c>
      <c r="O23" s="235">
        <f>'HeuTr. 4(a)'!N67</f>
        <v>0</v>
      </c>
      <c r="P23" s="235">
        <f>'HeuTr. 4(a)'!O67</f>
        <v>0</v>
      </c>
      <c r="Q23" s="235">
        <f>'HeuTr. 4(a)'!P67</f>
        <v>80.162727272727281</v>
      </c>
      <c r="R23" s="1192">
        <f>'HeuTr. 4(a)'!Q67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'HeuTr. 4(a)'!L43</f>
        <v>191.29688856889803</v>
      </c>
      <c r="N24" s="235">
        <f>'HeuTr. 4(a)'!M43</f>
        <v>49.713612264042688</v>
      </c>
      <c r="O24" s="235">
        <f>'HeuTr. 4(a)'!N43</f>
        <v>50.531805615267984</v>
      </c>
      <c r="P24" s="235">
        <f>'HeuTr. 4(a)'!O43</f>
        <v>48.325258289734386</v>
      </c>
      <c r="Q24" s="235">
        <f>'HeuTr. 4(a)'!P43</f>
        <v>42.726212399852962</v>
      </c>
      <c r="R24" s="1192">
        <f>'HeuTr. 4(a)'!Q43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'HeuTr. 4(a)'!L59</f>
        <v>238.44474747474746</v>
      </c>
      <c r="N25" s="235">
        <f>'HeuTr. 4(a)'!M59</f>
        <v>83.801843434343425</v>
      </c>
      <c r="O25" s="235">
        <f>'HeuTr. 4(a)'!N59</f>
        <v>57.958409090909093</v>
      </c>
      <c r="P25" s="235">
        <f>'HeuTr. 4(a)'!O59</f>
        <v>47.140227272727266</v>
      </c>
      <c r="Q25" s="235">
        <f>'HeuTr. 4(a)'!P59</f>
        <v>49.544267676767674</v>
      </c>
      <c r="R25" s="1192">
        <f>'HeuTr. 4(a)'!Q59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'HeuTr. 4(a)'!L64</f>
        <v>0</v>
      </c>
      <c r="N26" s="1437">
        <f>'HeuTr. 4(a)'!M64</f>
        <v>0</v>
      </c>
      <c r="O26" s="1437">
        <f>'HeuTr. 4(a)'!N64</f>
        <v>0</v>
      </c>
      <c r="P26" s="1437">
        <f>'HeuTr. 4(a)'!O64</f>
        <v>0</v>
      </c>
      <c r="Q26" s="1437">
        <f>'HeuTr. 4(a)'!P64</f>
        <v>0</v>
      </c>
      <c r="R26" s="1439">
        <f>'HeuTr. 4(a)'!Q64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1657.1468712436456</v>
      </c>
      <c r="N27" s="1782">
        <f t="shared" si="4"/>
        <v>626.23543574565883</v>
      </c>
      <c r="O27" s="1782">
        <f t="shared" si="4"/>
        <v>360.22964850617711</v>
      </c>
      <c r="P27" s="1782">
        <f t="shared" si="4"/>
        <v>296.85703260246169</v>
      </c>
      <c r="Q27" s="1782">
        <f t="shared" si="4"/>
        <v>373.82475438934796</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-1657.1468712436456</v>
      </c>
      <c r="N28" s="1321">
        <f t="shared" si="5"/>
        <v>-626.23543574565883</v>
      </c>
      <c r="O28" s="1321">
        <f t="shared" si="5"/>
        <v>-360.22964850617711</v>
      </c>
      <c r="P28" s="1321">
        <f t="shared" si="5"/>
        <v>-296.85703260246169</v>
      </c>
      <c r="Q28" s="1321">
        <f t="shared" si="5"/>
        <v>-373.82475438934796</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-0.42040998930514067</v>
      </c>
      <c r="N29" s="1377">
        <f t="shared" si="6"/>
        <v>-0.42727197013335888</v>
      </c>
      <c r="O29" s="1377">
        <f t="shared" si="6"/>
        <v>-0.37617966635983408</v>
      </c>
      <c r="P29" s="1377">
        <f t="shared" si="6"/>
        <v>-0.40185324967844605</v>
      </c>
      <c r="Q29" s="1377">
        <f t="shared" si="6"/>
        <v>-0.4794100164016466</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540</v>
      </c>
      <c r="N30" s="1553">
        <f t="shared" si="7"/>
        <v>189</v>
      </c>
      <c r="O30" s="1553">
        <f t="shared" si="7"/>
        <v>135</v>
      </c>
      <c r="P30" s="1553">
        <f t="shared" si="7"/>
        <v>108</v>
      </c>
      <c r="Q30" s="1553">
        <f t="shared" si="7"/>
        <v>108</v>
      </c>
      <c r="R30" s="1299">
        <f t="shared" si="7"/>
        <v>0</v>
      </c>
      <c r="T30" s="2112" t="s">
        <v>565</v>
      </c>
      <c r="U30" s="2115">
        <f>'HeuTr. 4(a)'!L25</f>
        <v>270</v>
      </c>
      <c r="V30" s="2115">
        <f>'HeuTr. 4(a)'!M25</f>
        <v>94.5</v>
      </c>
      <c r="W30" s="2115">
        <f>'HeuTr. 4(a)'!N25</f>
        <v>67.5</v>
      </c>
      <c r="X30" s="2115">
        <f>'HeuTr. 4(a)'!O25</f>
        <v>54</v>
      </c>
      <c r="Y30" s="2115">
        <f>'HeuTr. 4(a)'!P25</f>
        <v>54</v>
      </c>
      <c r="Z30" s="2115">
        <f>'HeuTr. 4(a)'!Q25</f>
        <v>0</v>
      </c>
      <c r="AA30">
        <f>'HeuTr. 4(a)'!R25+'HeuTr. 4(a)'!R30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M27*'HeuTr. 4(a)'!$L$72*'HeuTr. 4(a)'!$Q$72/12/100</f>
        <v>10.357167945272785</v>
      </c>
      <c r="N31" s="1437">
        <f>N27*'HeuTr. 4(a)'!$L$72*'HeuTr. 4(a)'!$Q$72/12/100</f>
        <v>3.9139714734103679</v>
      </c>
      <c r="O31" s="1437">
        <f>O27*'HeuTr. 4(a)'!$L$72*'HeuTr. 4(a)'!$Q$72/12/100</f>
        <v>2.2514353031636074</v>
      </c>
      <c r="P31" s="1437">
        <f>P27*'HeuTr. 4(a)'!$L$72*'HeuTr. 4(a)'!$Q$72/12/100</f>
        <v>1.8553564537653855</v>
      </c>
      <c r="Q31" s="1437">
        <f>Q27*'HeuTr. 4(a)'!$L$72*'HeuTr. 4(a)'!$Q$72/12/100</f>
        <v>2.3364047149334244</v>
      </c>
      <c r="R31" s="1439">
        <f>R27*'HeuTr. 4(a)'!$L$72*'HeuTr. 4(a)'!$Q$72/12/100</f>
        <v>0</v>
      </c>
      <c r="T31" s="2112" t="s">
        <v>564</v>
      </c>
      <c r="U31" s="2115">
        <f>'HeuTr. 4(a)'!L30</f>
        <v>270</v>
      </c>
      <c r="V31" s="2115">
        <f>'HeuTr. 4(a)'!M30</f>
        <v>94.5</v>
      </c>
      <c r="W31" s="2115">
        <f>'HeuTr. 4(a)'!N30</f>
        <v>67.5</v>
      </c>
      <c r="X31" s="2115">
        <f>'HeuTr. 4(a)'!O30</f>
        <v>54</v>
      </c>
      <c r="Y31" s="2115">
        <f>'HeuTr. 4(a)'!P30</f>
        <v>54</v>
      </c>
      <c r="Z31" s="2115">
        <f>'HeuTr. 4(a)'!Q30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-1127.5040391889183</v>
      </c>
      <c r="N32" s="1313">
        <f t="shared" si="8"/>
        <v>-441.14940721906919</v>
      </c>
      <c r="O32" s="1313">
        <f t="shared" si="8"/>
        <v>-227.48108380934073</v>
      </c>
      <c r="P32" s="1313">
        <f t="shared" si="8"/>
        <v>-190.71238905622707</v>
      </c>
      <c r="Q32" s="1313">
        <f t="shared" si="8"/>
        <v>-268.16115910428141</v>
      </c>
      <c r="R32" s="1320">
        <f t="shared" si="8"/>
        <v>0</v>
      </c>
      <c r="S32" s="246"/>
      <c r="U32" s="371">
        <f t="shared" ref="U32:Z32" si="9">U30+U31</f>
        <v>540</v>
      </c>
      <c r="V32" s="371">
        <f t="shared" si="9"/>
        <v>189</v>
      </c>
      <c r="W32" s="371">
        <f t="shared" si="9"/>
        <v>135</v>
      </c>
      <c r="X32" s="371">
        <f t="shared" si="9"/>
        <v>108</v>
      </c>
      <c r="Y32" s="371">
        <f t="shared" si="9"/>
        <v>108</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-0.28604221465366009</v>
      </c>
      <c r="N33" s="1199">
        <f t="shared" si="10"/>
        <v>-0.30099027552029062</v>
      </c>
      <c r="O33" s="1199">
        <f t="shared" si="10"/>
        <v>-0.23755334566556049</v>
      </c>
      <c r="P33" s="1199">
        <f t="shared" si="10"/>
        <v>-0.25816600207957963</v>
      </c>
      <c r="Q33" s="1199">
        <f t="shared" si="10"/>
        <v>-0.34390217387950317</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-0.17162532879219605</v>
      </c>
      <c r="N34" s="1599">
        <f t="shared" si="11"/>
        <v>-0.1805941653121744</v>
      </c>
      <c r="O34" s="1599">
        <f t="shared" si="11"/>
        <v>-0.14253200739933627</v>
      </c>
      <c r="P34" s="1599">
        <f t="shared" si="11"/>
        <v>-0.15489960124774774</v>
      </c>
      <c r="Q34" s="1599">
        <f t="shared" si="11"/>
        <v>-0.2063413043277019</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'HeuTr. 4(a)'!K58</f>
        <v>16.852616600790512</v>
      </c>
      <c r="N36" s="1772">
        <f>'HeuTr. 4(a)'!M58</f>
        <v>4.3658814229249021</v>
      </c>
      <c r="O36" s="1772">
        <f>'HeuTr. 4(a)'!N58</f>
        <v>4.4635889328063234</v>
      </c>
      <c r="P36" s="1772">
        <f>'HeuTr. 4(a)'!O58</f>
        <v>4.2700711462450585</v>
      </c>
      <c r="Q36" s="1772">
        <f>'HeuTr. 4(a)'!P58</f>
        <v>3.7530750988142296</v>
      </c>
      <c r="R36" s="1773">
        <f>'HeuTr. 4(a)'!Q58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'HeuTr. 4(a)'!K16</f>
        <v>46.843434343434353</v>
      </c>
      <c r="N37" s="1775">
        <f>'HeuTr. 4(a)'!M16</f>
        <v>16.792929292929294</v>
      </c>
      <c r="O37" s="1775">
        <f>'HeuTr. 4(a)'!N16</f>
        <v>11.363636363636365</v>
      </c>
      <c r="P37" s="1775">
        <f>'HeuTr. 4(a)'!O16</f>
        <v>9.0909090909090899</v>
      </c>
      <c r="Q37" s="1775">
        <f>'HeuTr. 4(a)'!P16</f>
        <v>9.5959595959595969</v>
      </c>
      <c r="R37" s="1776">
        <f>'HeuTr. 4(a)'!Q16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1146</v>
      </c>
      <c r="F38" s="2790"/>
      <c r="G38" s="2790"/>
      <c r="H38" s="2790"/>
      <c r="I38" s="1564"/>
      <c r="J38" s="1564"/>
      <c r="K38" s="1564"/>
      <c r="L38" s="392" t="s">
        <v>218</v>
      </c>
      <c r="M38" s="1685"/>
      <c r="N38" s="1565">
        <f>'HeuTr. 4(a)'!M78</f>
        <v>7.2976749999999999</v>
      </c>
      <c r="O38" s="1565">
        <f>'HeuTr. 4(a)'!N78</f>
        <v>2.9839249999999997</v>
      </c>
      <c r="P38" s="1565">
        <f>'HeuTr. 4(a)'!O78</f>
        <v>2.9839249999999997</v>
      </c>
      <c r="Q38" s="1565">
        <f>'HeuTr. 4(a)'!P78</f>
        <v>7.2976749999999999</v>
      </c>
      <c r="R38" s="1566">
        <f>'HeuTr. 4(a)'!Q78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278.06817391304344</v>
      </c>
      <c r="N39" s="235">
        <f t="shared" si="13"/>
        <v>72.037043478260884</v>
      </c>
      <c r="O39" s="235">
        <f t="shared" si="13"/>
        <v>73.649217391304333</v>
      </c>
      <c r="P39" s="235">
        <f t="shared" si="13"/>
        <v>70.456173913043472</v>
      </c>
      <c r="Q39" s="235">
        <f t="shared" si="13"/>
        <v>61.925739130434792</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1146</v>
      </c>
      <c r="F40" s="2785"/>
      <c r="G40" s="2785"/>
      <c r="H40" s="2785"/>
      <c r="I40" s="2785"/>
      <c r="J40" s="2785"/>
      <c r="K40" s="2785"/>
      <c r="L40" s="1198" t="s">
        <v>154</v>
      </c>
      <c r="M40" s="1305">
        <f>SUM(N40:R40)</f>
        <v>253.61236426767681</v>
      </c>
      <c r="N40" s="235">
        <f>N37*N38</f>
        <v>122.54934027777779</v>
      </c>
      <c r="O40" s="235">
        <f>O37*O38</f>
        <v>33.908238636363635</v>
      </c>
      <c r="P40" s="235">
        <f>P37*P38</f>
        <v>27.126590909090904</v>
      </c>
      <c r="Q40" s="235">
        <f>Q37*Q38</f>
        <v>70.028194444444452</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Maschinen!S43</f>
        <v>312.80863780303025</v>
      </c>
      <c r="N41" s="235">
        <f>N$6/$M$6*$M$41</f>
        <v>109.48302323106059</v>
      </c>
      <c r="O41" s="235">
        <f>O$6/$M$6*$M$41</f>
        <v>78.202159450757563</v>
      </c>
      <c r="P41" s="235">
        <f>P$6/$M$6*$M$41</f>
        <v>62.561727560606052</v>
      </c>
      <c r="Q41" s="235">
        <f>Q$6/$M$6*$M$41</f>
        <v>62.561727560606052</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1178.2629259837506</v>
      </c>
      <c r="N45" s="1449">
        <f t="shared" si="14"/>
        <v>420.89021948709927</v>
      </c>
      <c r="O45" s="1449">
        <f t="shared" si="14"/>
        <v>269.20305297842555</v>
      </c>
      <c r="P45" s="1449">
        <f t="shared" si="14"/>
        <v>226.89924238274043</v>
      </c>
      <c r="Q45" s="1449">
        <f t="shared" si="14"/>
        <v>261.27041113548529</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2845.7669651726692</v>
      </c>
      <c r="N48" s="1577">
        <f t="shared" si="16"/>
        <v>1051.0396267061685</v>
      </c>
      <c r="O48" s="1497">
        <f t="shared" si="16"/>
        <v>631.68413678776619</v>
      </c>
      <c r="P48" s="1497">
        <f t="shared" si="16"/>
        <v>525.61163143896749</v>
      </c>
      <c r="Q48" s="1497">
        <f t="shared" si="16"/>
        <v>637.43157023976664</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-2845.7669651726692</v>
      </c>
      <c r="N49" s="1575">
        <f t="shared" si="17"/>
        <v>-1051.0396267061685</v>
      </c>
      <c r="O49" s="1316">
        <f t="shared" si="17"/>
        <v>-631.68413678776619</v>
      </c>
      <c r="P49" s="1316">
        <f t="shared" si="17"/>
        <v>-525.61163143896749</v>
      </c>
      <c r="Q49" s="1316">
        <f t="shared" si="17"/>
        <v>-637.43157023976664</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-0.72195704566325247</v>
      </c>
      <c r="N50" s="1854">
        <f t="shared" si="18"/>
        <v>-0.71711012561314935</v>
      </c>
      <c r="O50" s="1614">
        <f t="shared" si="18"/>
        <v>-0.65965344276082516</v>
      </c>
      <c r="P50" s="1614">
        <f t="shared" si="18"/>
        <v>-0.71151672005491595</v>
      </c>
      <c r="Q50" s="1614">
        <f t="shared" si="18"/>
        <v>-0.81747149153555798</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540</v>
      </c>
      <c r="N51" s="1628">
        <f>N17</f>
        <v>189</v>
      </c>
      <c r="O51" s="1629">
        <f>O17</f>
        <v>135</v>
      </c>
      <c r="P51" s="1629">
        <f t="shared" si="19"/>
        <v>108</v>
      </c>
      <c r="Q51" s="1629">
        <f t="shared" si="19"/>
        <v>108</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-2305.7669651726692</v>
      </c>
      <c r="N52" s="1622">
        <f t="shared" si="20"/>
        <v>-862.03962670616852</v>
      </c>
      <c r="O52" s="1537">
        <f t="shared" si="20"/>
        <v>-496.68413678776619</v>
      </c>
      <c r="P52" s="1537">
        <f t="shared" si="20"/>
        <v>-417.61163143896749</v>
      </c>
      <c r="Q52" s="1537">
        <f t="shared" si="20"/>
        <v>-529.43157023976664</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-0.58496170857861474</v>
      </c>
      <c r="N53" s="1854">
        <f t="shared" si="21"/>
        <v>-0.58815798118674756</v>
      </c>
      <c r="O53" s="1614">
        <f t="shared" si="21"/>
        <v>-0.51867599915180262</v>
      </c>
      <c r="P53" s="1614">
        <f t="shared" si="21"/>
        <v>-0.56531788964555918</v>
      </c>
      <c r="Q53" s="1614">
        <f t="shared" si="21"/>
        <v>-0.67896733641090423</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2305.7669651726692</v>
      </c>
      <c r="N55" s="1494">
        <f t="shared" si="22"/>
        <v>862.03962670616852</v>
      </c>
      <c r="O55" s="1494">
        <f t="shared" si="22"/>
        <v>496.68413678776619</v>
      </c>
      <c r="P55" s="1494">
        <f t="shared" si="22"/>
        <v>417.61163143896749</v>
      </c>
      <c r="Q55" s="1494">
        <f t="shared" si="22"/>
        <v>529.43157023976664</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29.439498775080185</v>
      </c>
      <c r="N56" s="1559">
        <f t="shared" si="24"/>
        <v>30.701846617948224</v>
      </c>
      <c r="O56" s="1559">
        <f t="shared" si="24"/>
        <v>26.141270357250853</v>
      </c>
      <c r="P56" s="1559">
        <f t="shared" si="24"/>
        <v>27.474449436774179</v>
      </c>
      <c r="Q56" s="1559">
        <f t="shared" si="24"/>
        <v>32.997812549569943</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32.710554194533536</v>
      </c>
      <c r="N57" s="2174">
        <f>IF($N$9=0,0,N$55/$N$9)</f>
        <v>34.113162908831363</v>
      </c>
      <c r="O57" s="2174">
        <f>IF($O$9=0,0,O$55/$O$9)</f>
        <v>29.045855952500943</v>
      </c>
      <c r="P57" s="2174">
        <f>IF($P$9=0,0,P$55/$P$9)</f>
        <v>30.527166040860198</v>
      </c>
      <c r="Q57" s="2174">
        <f>IF($Q$9=0,0,Q$55/$Q$9)</f>
        <v>36.664236166188829</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0.58496170857861474</v>
      </c>
      <c r="N59" s="1586">
        <f t="shared" si="25"/>
        <v>0.58815798118674756</v>
      </c>
      <c r="O59" s="1586">
        <f t="shared" si="25"/>
        <v>0.51867599915180262</v>
      </c>
      <c r="P59" s="1586">
        <f t="shared" si="25"/>
        <v>0.56531788964555918</v>
      </c>
      <c r="Q59" s="1586">
        <f t="shared" si="25"/>
        <v>0.67896733641090423</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0.16248936349405965</v>
      </c>
      <c r="N60" s="1586">
        <f t="shared" si="26"/>
        <v>0.16337721699631877</v>
      </c>
      <c r="O60" s="1586">
        <f t="shared" si="26"/>
        <v>0.14407666643105629</v>
      </c>
      <c r="P60" s="1586">
        <f t="shared" si="26"/>
        <v>0.15703274712376644</v>
      </c>
      <c r="Q60" s="1586">
        <f t="shared" si="26"/>
        <v>0.18860203789191785</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 t="shared" ref="M61:R61" si="27">IF(M12=0,0,M55/M12)</f>
        <v>0.58496170857861474</v>
      </c>
      <c r="N61" s="1586">
        <f t="shared" si="27"/>
        <v>0.58815798118674756</v>
      </c>
      <c r="O61" s="1586">
        <f t="shared" si="27"/>
        <v>0.51867599915180262</v>
      </c>
      <c r="P61" s="1586">
        <f t="shared" si="27"/>
        <v>0.56531788964555918</v>
      </c>
      <c r="Q61" s="1586">
        <f t="shared" si="27"/>
        <v>0.67896733641090423</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0.35097702514716883</v>
      </c>
      <c r="N62" s="1856">
        <f t="shared" si="28"/>
        <v>0.3528947887120486</v>
      </c>
      <c r="O62" s="1856">
        <f t="shared" si="28"/>
        <v>0.31120559949108151</v>
      </c>
      <c r="P62" s="1856">
        <f t="shared" si="28"/>
        <v>0.33919073378733544</v>
      </c>
      <c r="Q62" s="1856">
        <f t="shared" si="28"/>
        <v>0.40738040184654245</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2052.1546009049925</v>
      </c>
      <c r="N63" s="1313">
        <f t="shared" si="29"/>
        <v>739.49028642839073</v>
      </c>
      <c r="O63" s="1313">
        <f t="shared" si="29"/>
        <v>462.77589815140254</v>
      </c>
      <c r="P63" s="1313">
        <f t="shared" si="29"/>
        <v>390.48504052987658</v>
      </c>
      <c r="Q63" s="1313">
        <f t="shared" si="29"/>
        <v>459.40337579532218</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29.112705361114941</v>
      </c>
      <c r="N64" s="2174">
        <f>IF($N$9=0,0,N$63/$N$9)</f>
        <v>29.263564955614989</v>
      </c>
      <c r="O64" s="2174">
        <f>IF($O$9=0,0,O$63/$O$9)</f>
        <v>27.062918020549855</v>
      </c>
      <c r="P64" s="2174">
        <f>IF($P$9=0,0,P$63/$P$9)</f>
        <v>28.544228108909106</v>
      </c>
      <c r="Q64" s="2174">
        <f>IF($Q$9=0,0,Q$63/$Q$9)</f>
        <v>31.814638212972451</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0.52062150240883265</v>
      </c>
      <c r="N65" s="1615">
        <f t="shared" si="30"/>
        <v>0.50454422337267213</v>
      </c>
      <c r="O65" s="1615">
        <f t="shared" si="30"/>
        <v>0.48326639322410458</v>
      </c>
      <c r="P65" s="1615">
        <f t="shared" si="30"/>
        <v>0.52859681683165016</v>
      </c>
      <c r="Q65" s="1615">
        <f t="shared" si="30"/>
        <v>0.5891599669068972</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0.31237290144529961</v>
      </c>
      <c r="N66" s="1617">
        <f t="shared" si="30"/>
        <v>0.30272653402360333</v>
      </c>
      <c r="O66" s="1617">
        <f t="shared" si="30"/>
        <v>0.28995983593446273</v>
      </c>
      <c r="P66" s="1617">
        <f t="shared" si="30"/>
        <v>0.31715809009898999</v>
      </c>
      <c r="Q66" s="1617">
        <f t="shared" si="30"/>
        <v>0.3534959801441383</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1237.7624031452729</v>
      </c>
      <c r="N68" s="1316">
        <f t="shared" si="31"/>
        <v>496.63395152068313</v>
      </c>
      <c r="O68" s="1316">
        <f t="shared" si="31"/>
        <v>253.99086910316365</v>
      </c>
      <c r="P68" s="1316">
        <f t="shared" si="31"/>
        <v>203.24690349376542</v>
      </c>
      <c r="Q68" s="1316">
        <f t="shared" si="31"/>
        <v>283.89067902766078</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0.31401421786958872</v>
      </c>
      <c r="N69" s="1487">
        <f t="shared" si="32"/>
        <v>0.33884662986005148</v>
      </c>
      <c r="O69" s="1487">
        <f t="shared" si="32"/>
        <v>0.26523691426813245</v>
      </c>
      <c r="P69" s="1487">
        <f t="shared" si="32"/>
        <v>0.27513388495473984</v>
      </c>
      <c r="Q69" s="1487">
        <f t="shared" si="32"/>
        <v>0.36407443191194827</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1020.6184477597192</v>
      </c>
      <c r="N70" s="1313">
        <f t="shared" si="33"/>
        <v>315.03552240770762</v>
      </c>
      <c r="O70" s="1313">
        <f t="shared" si="33"/>
        <v>260.34159154823897</v>
      </c>
      <c r="P70" s="1313">
        <f t="shared" si="33"/>
        <v>228.48338703611117</v>
      </c>
      <c r="Q70" s="1313">
        <f t="shared" si="33"/>
        <v>216.75794676766145</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0.25892586719563415</v>
      </c>
      <c r="N71" s="1614">
        <f t="shared" si="34"/>
        <v>0.21494447716913037</v>
      </c>
      <c r="O71" s="1614">
        <f t="shared" si="34"/>
        <v>0.27186882993759293</v>
      </c>
      <c r="P71" s="1614">
        <f t="shared" si="34"/>
        <v>0.30929633289488734</v>
      </c>
      <c r="Q71" s="1614">
        <f t="shared" si="34"/>
        <v>0.27798033595934835</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1" activePane="bottomRight" state="frozen"/>
      <selection pane="bottomRight" activeCell="S44" sqref="S44"/>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30"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1253</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4" t="s">
        <v>1105</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Standweide</v>
      </c>
      <c r="N5" s="2699" t="str">
        <f>VLOOKUP(W$5,$S$4:$T$13,2)</f>
        <v>Standweide</v>
      </c>
      <c r="O5" s="2699">
        <f>VLOOKUP(X$5,$S$4:$T$13,2)</f>
        <v>0</v>
      </c>
      <c r="P5" s="2699">
        <f>VLOOKUP(Y$5,$S$4:$T$13,2)</f>
        <v>0</v>
      </c>
      <c r="Q5" s="2700">
        <f>VLOOKUP(Z$5,$S$4:$T$13,2)</f>
        <v>0</v>
      </c>
      <c r="R5" s="470"/>
      <c r="S5" s="2642">
        <v>2</v>
      </c>
      <c r="T5" s="2672" t="str">
        <f>Energ.!G$57</f>
        <v>Umtriebsweide</v>
      </c>
      <c r="U5" s="2643"/>
      <c r="V5" s="2639">
        <v>3</v>
      </c>
      <c r="W5" s="2118">
        <v>3</v>
      </c>
      <c r="X5" s="2118">
        <v>10</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50</v>
      </c>
      <c r="L6" s="1288"/>
      <c r="M6" s="853">
        <f>$K$6*M7/100</f>
        <v>30</v>
      </c>
      <c r="N6" s="854">
        <f>$K$6*N7/100</f>
        <v>20</v>
      </c>
      <c r="O6" s="854">
        <f>$K$6*O7/100</f>
        <v>0</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60</v>
      </c>
      <c r="N7" s="2675">
        <v>40</v>
      </c>
      <c r="O7" s="2675"/>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25</v>
      </c>
      <c r="L8" s="1224"/>
      <c r="M8" s="2646">
        <f>HLOOKUP(V$5,Energ.!$F$58:$N$66,Energ.!$A59)*100</f>
        <v>25</v>
      </c>
      <c r="N8" s="2647">
        <f>HLOOKUP(W$5,Energ.!$F$58:$N$66,Energ.!$A59)*100</f>
        <v>25</v>
      </c>
      <c r="O8" s="2647">
        <f>HLOOKUP(X$5,Energ.!$F$58:$N$66,Energ.!$A59)*100</f>
        <v>0</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20</v>
      </c>
      <c r="L10" s="1224"/>
      <c r="M10" s="2652">
        <f>HLOOKUP(V$5,Energ.!$F$58:$N$66,Energ.!$A62)*100</f>
        <v>20</v>
      </c>
      <c r="N10" s="2653">
        <f>HLOOKUP(W$5,Energ.!$F$58:$N$66,Energ.!$A62)*100</f>
        <v>20</v>
      </c>
      <c r="O10" s="2658">
        <f>HLOOKUP(X$5,Energ.!$F$58:$N$66,Energ.!$A62)*100</f>
        <v>0</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20</v>
      </c>
      <c r="L11" s="1228"/>
      <c r="M11" s="2649">
        <f>HLOOKUP(V$5,Energ.!$F$58:$N$66,Energ.!$A63)*100</f>
        <v>20</v>
      </c>
      <c r="N11" s="2650">
        <f>HLOOKUP(W$5,Energ.!$F$58:$N$66,Energ.!$A63)*100</f>
        <v>20</v>
      </c>
      <c r="O11" s="2650">
        <f>HLOOKUP(X$5,Energ.!$F$58:$N$66,Energ.!$A63)*100</f>
        <v>0</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37.5</v>
      </c>
      <c r="L14" s="1233"/>
      <c r="M14" s="865">
        <f>M6*(100-M8)/100</f>
        <v>22.5</v>
      </c>
      <c r="N14" s="866">
        <f>N6*(100-N8)/100</f>
        <v>15</v>
      </c>
      <c r="O14" s="866">
        <f>O6*(100-O8)/100</f>
        <v>0</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187.5</v>
      </c>
      <c r="L15" s="1233"/>
      <c r="M15" s="865">
        <f>IF(M10=0,0,M14/M10*100)</f>
        <v>112.5</v>
      </c>
      <c r="N15" s="866">
        <f>IF(N10=0,0,N14/N10*100)</f>
        <v>75</v>
      </c>
      <c r="O15" s="866">
        <f>IF(O10=0,0,O14/O10*100)</f>
        <v>0</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37.5</v>
      </c>
      <c r="L17" s="1235"/>
      <c r="M17" s="865">
        <f>M14*(100-M9)/100</f>
        <v>22.5</v>
      </c>
      <c r="N17" s="870">
        <f>N14*(100-N9)/100</f>
        <v>15</v>
      </c>
      <c r="O17" s="870">
        <f>O14*(100-O9)/100</f>
        <v>0</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187.5</v>
      </c>
      <c r="L18" s="1235"/>
      <c r="M18" s="865">
        <f>IF(M11=0,0,M17/M11*100)</f>
        <v>112.5</v>
      </c>
      <c r="N18" s="870">
        <f>IF(N11=0,0,N17/N11*100)</f>
        <v>75</v>
      </c>
      <c r="O18" s="870">
        <f>IF(O11=0,0,O17/O11*100)</f>
        <v>0</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5.42</v>
      </c>
      <c r="L20" s="1238"/>
      <c r="M20" s="254">
        <v>5.5</v>
      </c>
      <c r="N20" s="255">
        <v>5.3</v>
      </c>
      <c r="O20" s="255"/>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9.0333333333333332</v>
      </c>
      <c r="L21" s="1238"/>
      <c r="M21" s="428">
        <f>IF($G21=0,0,M20/$G21)</f>
        <v>9.1666666666666679</v>
      </c>
      <c r="N21" s="429">
        <f>IF($G21=0,0,N20/$G21)</f>
        <v>8.8333333333333339</v>
      </c>
      <c r="O21" s="429">
        <f>IF($G21=0,0,O20/$G21)</f>
        <v>0</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2032.5</v>
      </c>
      <c r="L22" s="1240"/>
      <c r="M22" s="385">
        <f t="shared" ref="M22:Q23" si="0">M$17*M20*10</f>
        <v>1237.5</v>
      </c>
      <c r="N22" s="387">
        <f t="shared" si="0"/>
        <v>795</v>
      </c>
      <c r="O22" s="387">
        <f t="shared" si="0"/>
        <v>0</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3387.5000000000005</v>
      </c>
      <c r="L23" s="1242"/>
      <c r="M23" s="386">
        <f t="shared" si="0"/>
        <v>2062.5000000000005</v>
      </c>
      <c r="N23" s="388">
        <f t="shared" si="0"/>
        <v>1325</v>
      </c>
      <c r="O23" s="388">
        <f t="shared" si="0"/>
        <v>0</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310</v>
      </c>
      <c r="M25" s="886">
        <f>$L25*M7/100</f>
        <v>186</v>
      </c>
      <c r="N25" s="870">
        <f>$L25*N7/100</f>
        <v>124</v>
      </c>
      <c r="O25" s="870">
        <f>$L25*O7/100</f>
        <v>0</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24</v>
      </c>
      <c r="C27" s="77"/>
      <c r="D27" s="79"/>
      <c r="E27" s="78"/>
      <c r="F27" s="78"/>
      <c r="G27" s="78"/>
      <c r="H27" s="434"/>
      <c r="I27" s="434"/>
      <c r="J27" s="434"/>
      <c r="K27" s="1245"/>
      <c r="L27" s="1246">
        <f>IF(B27=0,0,VLOOKUP(B27,Prämien!$C$8:$M$37,11))</f>
        <v>80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162</v>
      </c>
      <c r="N30" s="870">
        <f>$L30*N7/100</f>
        <v>108</v>
      </c>
      <c r="O30" s="870">
        <f>$L30*O7/100</f>
        <v>0</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133.875</v>
      </c>
      <c r="M34" s="894">
        <f>$L34*M$7/100</f>
        <v>80.325000000000003</v>
      </c>
      <c r="N34" s="895">
        <f>$L34*N$7/100</f>
        <v>53.55</v>
      </c>
      <c r="O34" s="895">
        <f>$L34*O$7/100</f>
        <v>0</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1</v>
      </c>
      <c r="I36" s="112"/>
      <c r="J36" s="913"/>
      <c r="K36" s="1255">
        <f>H36*$K$14+I36</f>
        <v>37.5</v>
      </c>
      <c r="L36" s="1256">
        <f>K36*$F36</f>
        <v>133.875</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3156" t="s">
        <v>1415</v>
      </c>
      <c r="H37" s="3152">
        <v>0</v>
      </c>
      <c r="I37" s="3153"/>
      <c r="J37" s="913"/>
      <c r="K37" s="1255">
        <f>H37*$K$14+I37</f>
        <v>0</v>
      </c>
      <c r="L37" s="1256">
        <f>K37*$F37</f>
        <v>0</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3156">
        <v>2017</v>
      </c>
      <c r="H38" s="3152">
        <v>0</v>
      </c>
      <c r="I38" s="3153"/>
      <c r="J38" s="913"/>
      <c r="K38" s="1255">
        <f>H38*$K$14+I38</f>
        <v>0</v>
      </c>
      <c r="L38" s="1256">
        <f>K38*$F38</f>
        <v>0</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3157" t="s">
        <v>1416</v>
      </c>
      <c r="H39" s="3154">
        <v>0</v>
      </c>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19.444173280000001</v>
      </c>
      <c r="M43" s="931">
        <f>SUM(Z46:Z56)</f>
        <v>9.7220866400000006</v>
      </c>
      <c r="N43" s="931">
        <f>SUM(AA46:AA56)</f>
        <v>9.7220866400000006</v>
      </c>
      <c r="O43" s="931">
        <f>SUM(AB46:AB56)</f>
        <v>0</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v>
      </c>
      <c r="K46" s="1266">
        <f t="shared" ref="K46:K56" si="1">J46*H46</f>
        <v>0</v>
      </c>
      <c r="L46" s="1256">
        <f t="shared" ref="L46:L56" si="2">J46*I46</f>
        <v>0</v>
      </c>
      <c r="M46" s="259"/>
      <c r="N46" s="260"/>
      <c r="O46" s="260"/>
      <c r="P46" s="260"/>
      <c r="Q46" s="261"/>
      <c r="R46" s="449"/>
      <c r="S46" s="449"/>
      <c r="T46" s="406">
        <f t="shared" ref="T46:X56" si="3">IF(M46&lt;&gt;0,M46*$H46,0)</f>
        <v>0</v>
      </c>
      <c r="U46" s="407">
        <f t="shared" si="3"/>
        <v>0</v>
      </c>
      <c r="V46" s="407">
        <f t="shared" si="3"/>
        <v>0</v>
      </c>
      <c r="W46" s="407">
        <f t="shared" si="3"/>
        <v>0</v>
      </c>
      <c r="X46" s="408">
        <f t="shared" si="3"/>
        <v>0</v>
      </c>
      <c r="Y46" s="434"/>
      <c r="Z46" s="406">
        <f t="shared" ref="Z46:AD56" si="4">IF(M46&lt;&gt;0,M46*$I46,0)</f>
        <v>0</v>
      </c>
      <c r="AA46" s="407">
        <f t="shared" si="4"/>
        <v>0</v>
      </c>
      <c r="AB46" s="407">
        <f t="shared" si="4"/>
        <v>0</v>
      </c>
      <c r="AC46" s="407">
        <f t="shared" si="4"/>
        <v>0</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v>
      </c>
      <c r="K47" s="1266">
        <f t="shared" si="1"/>
        <v>0</v>
      </c>
      <c r="L47" s="1256">
        <f t="shared" si="2"/>
        <v>0</v>
      </c>
      <c r="M47" s="259"/>
      <c r="N47" s="260"/>
      <c r="O47" s="260"/>
      <c r="P47" s="260"/>
      <c r="Q47" s="261"/>
      <c r="R47" s="449"/>
      <c r="S47" s="449"/>
      <c r="T47" s="406">
        <f t="shared" si="3"/>
        <v>0</v>
      </c>
      <c r="U47" s="407">
        <f t="shared" si="3"/>
        <v>0</v>
      </c>
      <c r="V47" s="407">
        <f t="shared" si="3"/>
        <v>0</v>
      </c>
      <c r="W47" s="407">
        <f t="shared" si="3"/>
        <v>0</v>
      </c>
      <c r="X47" s="408">
        <f t="shared" si="3"/>
        <v>0</v>
      </c>
      <c r="Y47" s="434"/>
      <c r="Z47" s="406">
        <f t="shared" si="4"/>
        <v>0</v>
      </c>
      <c r="AA47" s="407">
        <f t="shared" si="4"/>
        <v>0</v>
      </c>
      <c r="AB47" s="407">
        <f t="shared" si="4"/>
        <v>0</v>
      </c>
      <c r="AC47" s="407">
        <f t="shared" si="4"/>
        <v>0</v>
      </c>
      <c r="AD47" s="408">
        <f t="shared" si="4"/>
        <v>0</v>
      </c>
      <c r="AE47" s="434"/>
      <c r="AF47" s="434"/>
      <c r="AG47" s="434"/>
      <c r="AH47" s="434"/>
      <c r="AI47" s="434"/>
      <c r="AJ47" s="434"/>
      <c r="AK47" s="434"/>
      <c r="AL47" s="434"/>
      <c r="AM47" s="434"/>
    </row>
    <row r="48" spans="1:39" s="436" customFormat="1" ht="14.9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1</v>
      </c>
      <c r="K48" s="1266">
        <f t="shared" si="1"/>
        <v>1.2</v>
      </c>
      <c r="L48" s="1256">
        <f t="shared" si="2"/>
        <v>19.444173280000001</v>
      </c>
      <c r="M48" s="259">
        <v>0.5</v>
      </c>
      <c r="N48" s="260">
        <v>0.5</v>
      </c>
      <c r="O48" s="260"/>
      <c r="P48" s="260"/>
      <c r="Q48" s="261"/>
      <c r="R48" s="449"/>
      <c r="S48" s="449"/>
      <c r="T48" s="406">
        <f t="shared" si="3"/>
        <v>0.6</v>
      </c>
      <c r="U48" s="407">
        <f t="shared" si="3"/>
        <v>0.6</v>
      </c>
      <c r="V48" s="407">
        <f t="shared" si="3"/>
        <v>0</v>
      </c>
      <c r="W48" s="407">
        <f t="shared" si="3"/>
        <v>0</v>
      </c>
      <c r="X48" s="408">
        <f t="shared" si="3"/>
        <v>0</v>
      </c>
      <c r="Y48" s="434"/>
      <c r="Z48" s="406">
        <f t="shared" si="4"/>
        <v>9.7220866400000006</v>
      </c>
      <c r="AA48" s="407">
        <f t="shared" si="4"/>
        <v>9.7220866400000006</v>
      </c>
      <c r="AB48" s="407">
        <f t="shared" si="4"/>
        <v>0</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22</v>
      </c>
      <c r="C50" s="103"/>
      <c r="D50" s="132"/>
      <c r="E50" s="438"/>
      <c r="F50" s="438"/>
      <c r="G50" s="399">
        <f>IF($B50=0,0,VLOOKUP($B50,Arbeitsgänge!$B$26:$M$78,6))</f>
        <v>0</v>
      </c>
      <c r="H50" s="424">
        <f>IF($B50=0,0,VLOOKUP($B50,Arbeitsgänge!$B$26:$O$78,11))</f>
        <v>10</v>
      </c>
      <c r="I50" s="400">
        <f>IF($B50=0,0,VLOOKUP($B50,Arbeitsgänge!$B$26:$T$79,12))</f>
        <v>0</v>
      </c>
      <c r="J50" s="493">
        <f t="shared" si="5"/>
        <v>1</v>
      </c>
      <c r="K50" s="1266">
        <f t="shared" si="1"/>
        <v>10</v>
      </c>
      <c r="L50" s="1256">
        <f t="shared" si="2"/>
        <v>0</v>
      </c>
      <c r="M50" s="259">
        <v>0.5</v>
      </c>
      <c r="N50" s="260">
        <v>0.5</v>
      </c>
      <c r="O50" s="260"/>
      <c r="P50" s="260"/>
      <c r="Q50" s="261"/>
      <c r="R50" s="449"/>
      <c r="S50" s="449"/>
      <c r="T50" s="406">
        <f t="shared" si="3"/>
        <v>5</v>
      </c>
      <c r="U50" s="407">
        <f t="shared" si="3"/>
        <v>5</v>
      </c>
      <c r="V50" s="407">
        <f t="shared" si="3"/>
        <v>0</v>
      </c>
      <c r="W50" s="407">
        <f t="shared" si="3"/>
        <v>0</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11.2</v>
      </c>
      <c r="L57" s="1270"/>
      <c r="M57" s="944">
        <f>SUM(T46:T56)</f>
        <v>5.6</v>
      </c>
      <c r="N57" s="945">
        <f>SUM(U46:U56)</f>
        <v>5.6</v>
      </c>
      <c r="O57" s="945">
        <f>SUM(V46:V56)</f>
        <v>0</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10</v>
      </c>
      <c r="H58" s="800" t="s">
        <v>487</v>
      </c>
      <c r="I58" s="800"/>
      <c r="J58" s="950"/>
      <c r="K58" s="1271">
        <f>SUM(M58:Q58)</f>
        <v>12.32</v>
      </c>
      <c r="L58" s="1272"/>
      <c r="M58" s="951">
        <f>M57+M57*$G$58/100</f>
        <v>6.16</v>
      </c>
      <c r="N58" s="952">
        <f>N57+N57*$G$58/100</f>
        <v>6.16</v>
      </c>
      <c r="O58" s="952">
        <f>O57+O57*$G$58/100</f>
        <v>0</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c r="E62" s="2078"/>
      <c r="F62" s="2078"/>
      <c r="G62" s="2243"/>
      <c r="H62" s="755">
        <f>G62*(100+$H$59)/100</f>
        <v>0</v>
      </c>
      <c r="I62" s="756"/>
      <c r="J62" s="2070">
        <f>SUM(M62:Q62)</f>
        <v>0</v>
      </c>
      <c r="K62" s="1718"/>
      <c r="L62" s="1284">
        <f>J62*H62</f>
        <v>0</v>
      </c>
      <c r="M62" s="2244"/>
      <c r="N62" s="2245"/>
      <c r="O62" s="2245">
        <f t="shared" ref="O62:Q62" si="7">O15/2.7</f>
        <v>0</v>
      </c>
      <c r="P62" s="2245">
        <f t="shared" si="7"/>
        <v>0</v>
      </c>
      <c r="Q62" s="2246">
        <f t="shared" si="7"/>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0.2</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49.8</v>
      </c>
      <c r="N67" s="870">
        <f t="shared" si="8"/>
        <v>33.200000000000003</v>
      </c>
      <c r="O67" s="870">
        <f t="shared" si="8"/>
        <v>0</v>
      </c>
      <c r="P67" s="870">
        <f t="shared" si="8"/>
        <v>0</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805" t="s">
        <v>1099</v>
      </c>
      <c r="E69" s="2683"/>
      <c r="F69" s="2682"/>
      <c r="G69" s="2684"/>
      <c r="H69" s="2806" t="s">
        <v>154</v>
      </c>
      <c r="I69" s="2686">
        <v>83</v>
      </c>
      <c r="K69" s="1285"/>
      <c r="L69" s="1286">
        <f>SUM(M69:Q69)</f>
        <v>83</v>
      </c>
      <c r="M69" s="2687">
        <f>M7%*$I$69</f>
        <v>49.8</v>
      </c>
      <c r="N69" s="2688">
        <f t="shared" ref="N69:Q69" si="9">N7%*$I$69</f>
        <v>33.200000000000003</v>
      </c>
      <c r="O69" s="2688">
        <f t="shared" si="9"/>
        <v>0</v>
      </c>
      <c r="P69" s="2688">
        <f t="shared" si="9"/>
        <v>0</v>
      </c>
      <c r="Q69" s="2689">
        <f t="shared" si="9"/>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N21" sqref="N21"/>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9025"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049026"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049027"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049028"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049029"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049030"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049031"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049032"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049033"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049034"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049035"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049036"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049037"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049038"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049039"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049040"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049041"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049042"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049043"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049044"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049045"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'Standw.(a)'!K2</f>
        <v>Standweide</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'Standw.(a)'!H3</f>
        <v>extensive Weide, fest eingezäunt</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'Standw.(a)'!M5</f>
        <v>Standweide</v>
      </c>
      <c r="O5" s="2679" t="str">
        <f>'Standw.(a)'!N5</f>
        <v>Standweide</v>
      </c>
      <c r="P5" s="2679">
        <f>'Standw.(a)'!O5</f>
        <v>0</v>
      </c>
      <c r="Q5" s="2679">
        <f>'Standw.(a)'!P5</f>
        <v>0</v>
      </c>
      <c r="R5" s="2680">
        <f>'Standw.(a)'!Q5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'Standw.(a)'!K6</f>
        <v>50</v>
      </c>
      <c r="N6" s="1361">
        <f>'Standw.(a)'!M6</f>
        <v>30</v>
      </c>
      <c r="O6" s="1361">
        <f>'Standw.(a)'!N6</f>
        <v>20</v>
      </c>
      <c r="P6" s="1361">
        <f>'Standw.(a)'!O6</f>
        <v>0</v>
      </c>
      <c r="Q6" s="1361">
        <f>'Standw.(a)'!P6</f>
        <v>0</v>
      </c>
      <c r="R6" s="1362">
        <f>'Standw.(a)'!Q6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798"/>
      <c r="J7" s="2798"/>
      <c r="K7" s="2798"/>
      <c r="L7" s="425" t="s">
        <v>72</v>
      </c>
      <c r="M7" s="1291">
        <f>'Standw.(a)'!K14</f>
        <v>37.5</v>
      </c>
      <c r="N7" s="391">
        <f>'Standw.(a)'!M14</f>
        <v>22.5</v>
      </c>
      <c r="O7" s="391">
        <f>'Standw.(a)'!N14</f>
        <v>15</v>
      </c>
      <c r="P7" s="391">
        <f>'Standw.(a)'!O14</f>
        <v>0</v>
      </c>
      <c r="Q7" s="391">
        <f>'Standw.(a)'!P14</f>
        <v>0</v>
      </c>
      <c r="R7" s="1299">
        <f>'Standw.(a)'!Q14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'Standw.(a)'!K15</f>
        <v>187.5</v>
      </c>
      <c r="N8" s="404">
        <f>'Standw.(a)'!M15</f>
        <v>112.5</v>
      </c>
      <c r="O8" s="404">
        <f>'Standw.(a)'!N15</f>
        <v>75</v>
      </c>
      <c r="P8" s="404">
        <f>'Standw.(a)'!O15</f>
        <v>0</v>
      </c>
      <c r="Q8" s="404">
        <f>'Standw.(a)'!P15</f>
        <v>0</v>
      </c>
      <c r="R8" s="1201">
        <f>'Standw.(a)'!Q15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798"/>
      <c r="J9" s="2798"/>
      <c r="K9" s="2798"/>
      <c r="L9" s="425" t="s">
        <v>72</v>
      </c>
      <c r="M9" s="1200">
        <f>'Standw.(a)'!K17</f>
        <v>37.5</v>
      </c>
      <c r="N9" s="391">
        <f>'Standw.(a)'!M17</f>
        <v>22.5</v>
      </c>
      <c r="O9" s="391">
        <f>'Standw.(a)'!N17</f>
        <v>15</v>
      </c>
      <c r="P9" s="391">
        <f>'Standw.(a)'!O17</f>
        <v>0</v>
      </c>
      <c r="Q9" s="391">
        <f>'Standw.(a)'!P17</f>
        <v>0</v>
      </c>
      <c r="R9" s="1299">
        <f>'Standw.(a)'!Q17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798"/>
      <c r="J10" s="2798"/>
      <c r="K10" s="2798"/>
      <c r="L10" s="425" t="s">
        <v>376</v>
      </c>
      <c r="M10" s="1181">
        <f>'Standw.(a)'!K18</f>
        <v>187.5</v>
      </c>
      <c r="N10" s="1303">
        <f>'Standw.(a)'!M18</f>
        <v>112.5</v>
      </c>
      <c r="O10" s="1303">
        <f>'Standw.(a)'!N18</f>
        <v>75</v>
      </c>
      <c r="P10" s="1303">
        <f>'Standw.(a)'!O18</f>
        <v>0</v>
      </c>
      <c r="Q10" s="1303">
        <f>'Standw.(a)'!P18</f>
        <v>0</v>
      </c>
      <c r="R10" s="1300">
        <f>'Standw.(a)'!Q18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'Standw.(a)'!K19</f>
        <v>0</v>
      </c>
      <c r="N11" s="1551">
        <f>'Standw.(a)'!L19</f>
        <v>0</v>
      </c>
      <c r="O11" s="1551">
        <f>'Standw.(a)'!M19</f>
        <v>0</v>
      </c>
      <c r="P11" s="1551">
        <f>'Standw.(a)'!N19</f>
        <v>0</v>
      </c>
      <c r="Q11" s="1551">
        <f>'Standw.(a)'!O19</f>
        <v>0</v>
      </c>
      <c r="R11" s="1552">
        <f>'Standw.(a)'!P19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798"/>
      <c r="J12" s="2798"/>
      <c r="K12" s="2798"/>
      <c r="L12" s="425" t="s">
        <v>136</v>
      </c>
      <c r="M12" s="1181">
        <f>'Standw.(a)'!K22</f>
        <v>2032.5</v>
      </c>
      <c r="N12" s="967">
        <f>'Standw.(a)'!M22</f>
        <v>1237.5</v>
      </c>
      <c r="O12" s="967">
        <f>'Standw.(a)'!N22</f>
        <v>795</v>
      </c>
      <c r="P12" s="967">
        <f>'Standw.(a)'!O22</f>
        <v>0</v>
      </c>
      <c r="Q12" s="967">
        <f>'Standw.(a)'!P22</f>
        <v>0</v>
      </c>
      <c r="R12" s="1302">
        <f>'Standw.(a)'!Q22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'Standw.(a)'!K23</f>
        <v>3387.5000000000005</v>
      </c>
      <c r="N13" s="1521">
        <f>'Standw.(a)'!M23</f>
        <v>2062.5000000000005</v>
      </c>
      <c r="O13" s="1521">
        <f>'Standw.(a)'!N23</f>
        <v>1325</v>
      </c>
      <c r="P13" s="1521">
        <f>'Standw.(a)'!O23</f>
        <v>0</v>
      </c>
      <c r="Q13" s="1521">
        <f>'Standw.(a)'!P23</f>
        <v>0</v>
      </c>
      <c r="R13" s="1523">
        <f>'Standw.(a)'!Q23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162</v>
      </c>
      <c r="O15" s="2137">
        <f t="shared" si="0"/>
        <v>108</v>
      </c>
      <c r="P15" s="2136">
        <f t="shared" si="0"/>
        <v>0</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310</v>
      </c>
      <c r="N16" s="2139">
        <f t="shared" si="1"/>
        <v>186</v>
      </c>
      <c r="O16" s="1553">
        <f t="shared" si="1"/>
        <v>124</v>
      </c>
      <c r="P16" s="2139">
        <f t="shared" si="1"/>
        <v>0</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580</v>
      </c>
      <c r="N17" s="2133">
        <f t="shared" si="2"/>
        <v>348</v>
      </c>
      <c r="O17" s="1521">
        <f t="shared" si="2"/>
        <v>232</v>
      </c>
      <c r="P17" s="2133">
        <f t="shared" si="2"/>
        <v>0</v>
      </c>
      <c r="Q17" s="1521">
        <f t="shared" si="2"/>
        <v>0</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'Standw.(a)'!L32</f>
        <v>0</v>
      </c>
      <c r="N19" s="1527">
        <f>'Standw.(a)'!M32</f>
        <v>0</v>
      </c>
      <c r="O19" s="1527">
        <f>'Standw.(a)'!N32</f>
        <v>0</v>
      </c>
      <c r="P19" s="1527">
        <f>'Standw.(a)'!O32</f>
        <v>0</v>
      </c>
      <c r="Q19" s="1527">
        <f>'Standw.(a)'!P32</f>
        <v>0</v>
      </c>
      <c r="R19" s="1529">
        <f>'Standw.(a)'!Q32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'Standw.(a)'!L34</f>
        <v>133.875</v>
      </c>
      <c r="N20" s="235">
        <f>'Standw.(a)'!M34</f>
        <v>80.325000000000003</v>
      </c>
      <c r="O20" s="235">
        <f>'Standw.(a)'!N34</f>
        <v>53.55</v>
      </c>
      <c r="P20" s="235">
        <f>'Standw.(a)'!O34</f>
        <v>0</v>
      </c>
      <c r="Q20" s="235">
        <f>'Standw.(a)'!P34</f>
        <v>0</v>
      </c>
      <c r="R20" s="1192">
        <f>'Standw.(a)'!Q34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'Standw.(a)'!L40</f>
        <v>0</v>
      </c>
      <c r="N21" s="235">
        <f>'Standw.(a)'!M40</f>
        <v>0</v>
      </c>
      <c r="O21" s="235">
        <f>'Standw.(a)'!N40</f>
        <v>0</v>
      </c>
      <c r="P21" s="235">
        <f>'Standw.(a)'!O40</f>
        <v>0</v>
      </c>
      <c r="Q21" s="235">
        <f>'Standw.(a)'!P40</f>
        <v>0</v>
      </c>
      <c r="R21" s="1192">
        <f>'Standw.(a)'!Q40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'Standw.(a)'!L67</f>
        <v>83</v>
      </c>
      <c r="N23" s="235">
        <f>'Standw.(a)'!M67</f>
        <v>49.8</v>
      </c>
      <c r="O23" s="235">
        <f>'Standw.(a)'!N67</f>
        <v>33.200000000000003</v>
      </c>
      <c r="P23" s="235">
        <f>'Standw.(a)'!O67</f>
        <v>0</v>
      </c>
      <c r="Q23" s="235">
        <f>'Standw.(a)'!P67</f>
        <v>0</v>
      </c>
      <c r="R23" s="1192">
        <f>'Standw.(a)'!Q67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'Standw.(a)'!L43</f>
        <v>19.444173280000001</v>
      </c>
      <c r="N24" s="235">
        <f>'Standw.(a)'!M43</f>
        <v>9.7220866400000006</v>
      </c>
      <c r="O24" s="235">
        <f>'Standw.(a)'!N43</f>
        <v>9.7220866400000006</v>
      </c>
      <c r="P24" s="235">
        <f>'Standw.(a)'!O43</f>
        <v>0</v>
      </c>
      <c r="Q24" s="235">
        <f>'Standw.(a)'!P43</f>
        <v>0</v>
      </c>
      <c r="R24" s="1192">
        <f>'Standw.(a)'!Q43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'Standw.(a)'!L59</f>
        <v>0</v>
      </c>
      <c r="N25" s="235">
        <f>'Standw.(a)'!M59</f>
        <v>0</v>
      </c>
      <c r="O25" s="235">
        <f>'Standw.(a)'!N59</f>
        <v>0</v>
      </c>
      <c r="P25" s="235">
        <f>'Standw.(a)'!O59</f>
        <v>0</v>
      </c>
      <c r="Q25" s="235">
        <f>'Standw.(a)'!P59</f>
        <v>0</v>
      </c>
      <c r="R25" s="1192">
        <f>'Standw.(a)'!Q59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'Standw.(a)'!L64</f>
        <v>0</v>
      </c>
      <c r="N26" s="1437">
        <f>'Standw.(a)'!M64</f>
        <v>0</v>
      </c>
      <c r="O26" s="1437">
        <f>'Standw.(a)'!N64</f>
        <v>0</v>
      </c>
      <c r="P26" s="1437">
        <f>'Standw.(a)'!O64</f>
        <v>0</v>
      </c>
      <c r="Q26" s="1437">
        <f>'Standw.(a)'!P64</f>
        <v>0</v>
      </c>
      <c r="R26" s="1439">
        <f>'Standw.(a)'!Q64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236.31917328</v>
      </c>
      <c r="N27" s="1782">
        <f t="shared" si="4"/>
        <v>139.84708663999999</v>
      </c>
      <c r="O27" s="1782">
        <f t="shared" si="4"/>
        <v>96.472086640000001</v>
      </c>
      <c r="P27" s="1782">
        <f t="shared" si="4"/>
        <v>0</v>
      </c>
      <c r="Q27" s="1782">
        <f t="shared" si="4"/>
        <v>0</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-236.31917328</v>
      </c>
      <c r="N28" s="1321">
        <f t="shared" si="5"/>
        <v>-139.84708663999999</v>
      </c>
      <c r="O28" s="1321">
        <f t="shared" si="5"/>
        <v>-96.472086640000001</v>
      </c>
      <c r="P28" s="1321">
        <f t="shared" si="5"/>
        <v>0</v>
      </c>
      <c r="Q28" s="1321">
        <f t="shared" si="5"/>
        <v>0</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-0.11627019595571955</v>
      </c>
      <c r="N29" s="1377">
        <f t="shared" si="6"/>
        <v>-0.11300774677979797</v>
      </c>
      <c r="O29" s="1377">
        <f t="shared" si="6"/>
        <v>-0.12134853665408805</v>
      </c>
      <c r="P29" s="1377">
        <f t="shared" si="6"/>
        <v>0</v>
      </c>
      <c r="Q29" s="1377">
        <f t="shared" si="6"/>
        <v>0</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580</v>
      </c>
      <c r="N30" s="1553">
        <f t="shared" si="7"/>
        <v>348</v>
      </c>
      <c r="O30" s="1553">
        <f t="shared" si="7"/>
        <v>232</v>
      </c>
      <c r="P30" s="1553">
        <f t="shared" si="7"/>
        <v>0</v>
      </c>
      <c r="Q30" s="1553">
        <f t="shared" si="7"/>
        <v>0</v>
      </c>
      <c r="R30" s="1299">
        <f t="shared" si="7"/>
        <v>0</v>
      </c>
      <c r="T30" s="2112" t="s">
        <v>565</v>
      </c>
      <c r="U30" s="2115">
        <f>'Standw.(a)'!L25</f>
        <v>310</v>
      </c>
      <c r="V30" s="2115">
        <f>'Standw.(a)'!M25</f>
        <v>186</v>
      </c>
      <c r="W30" s="2115">
        <f>'Standw.(a)'!N25</f>
        <v>124</v>
      </c>
      <c r="X30" s="2115">
        <f>'Standw.(a)'!O25</f>
        <v>0</v>
      </c>
      <c r="Y30" s="2115">
        <f>'Standw.(a)'!P25</f>
        <v>0</v>
      </c>
      <c r="Z30" s="2115">
        <f>'Standw.(a)'!Q25</f>
        <v>0</v>
      </c>
      <c r="AA30">
        <f>'Standw.(a)'!R25+'Standw.(a)'!R30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M27*'Standw.(a)'!$L$72*'Standw.(a)'!$Q$72/12/100</f>
        <v>1.476994833</v>
      </c>
      <c r="N31" s="1437">
        <f>N27*'Standw.(a)'!$L$72*'Standw.(a)'!$Q$72/12/100</f>
        <v>0.87404429149999996</v>
      </c>
      <c r="O31" s="1437">
        <f>O27*'Standw.(a)'!$L$72*'Standw.(a)'!$Q$72/12/100</f>
        <v>0.60295054149999994</v>
      </c>
      <c r="P31" s="1437">
        <f>P27*'Standw.(a)'!$L$72*'Standw.(a)'!$Q$72/12/100</f>
        <v>0</v>
      </c>
      <c r="Q31" s="1437">
        <f>Q27*'Standw.(a)'!$L$72*'Standw.(a)'!$Q$72/12/100</f>
        <v>0</v>
      </c>
      <c r="R31" s="1439">
        <f>R27*'Standw.(a)'!$L$72*'Standw.(a)'!$Q$72/12/100</f>
        <v>0</v>
      </c>
      <c r="T31" s="2112" t="s">
        <v>564</v>
      </c>
      <c r="U31" s="2115">
        <f>'Standw.(a)'!L30</f>
        <v>270</v>
      </c>
      <c r="V31" s="2115">
        <f>'Standw.(a)'!M30</f>
        <v>162</v>
      </c>
      <c r="W31" s="2115">
        <f>'Standw.(a)'!N30</f>
        <v>108</v>
      </c>
      <c r="X31" s="2115">
        <f>'Standw.(a)'!O30</f>
        <v>0</v>
      </c>
      <c r="Y31" s="2115">
        <f>'Standw.(a)'!P30</f>
        <v>0</v>
      </c>
      <c r="Z31" s="2115">
        <f>'Standw.(a)'!Q30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342.20383188700004</v>
      </c>
      <c r="N32" s="1313">
        <f t="shared" si="8"/>
        <v>207.2788690685</v>
      </c>
      <c r="O32" s="1313">
        <f t="shared" si="8"/>
        <v>134.92496281850001</v>
      </c>
      <c r="P32" s="1313">
        <f t="shared" si="8"/>
        <v>0</v>
      </c>
      <c r="Q32" s="1313">
        <f t="shared" si="8"/>
        <v>0</v>
      </c>
      <c r="R32" s="1320">
        <f t="shared" si="8"/>
        <v>0</v>
      </c>
      <c r="S32" s="246"/>
      <c r="U32" s="371">
        <f t="shared" ref="U32:Z32" si="9">U30+U31</f>
        <v>580</v>
      </c>
      <c r="V32" s="371">
        <f t="shared" si="9"/>
        <v>348</v>
      </c>
      <c r="W32" s="371">
        <f t="shared" si="9"/>
        <v>232</v>
      </c>
      <c r="X32" s="371">
        <f t="shared" si="9"/>
        <v>0</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0.1683659689480935</v>
      </c>
      <c r="N33" s="1199">
        <f t="shared" si="10"/>
        <v>0.16749807601494948</v>
      </c>
      <c r="O33" s="1199">
        <f t="shared" si="10"/>
        <v>0.16971693436289309</v>
      </c>
      <c r="P33" s="1199">
        <f t="shared" si="10"/>
        <v>0</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0.10101958136885608</v>
      </c>
      <c r="N34" s="1599">
        <f t="shared" si="11"/>
        <v>0.10049884560896967</v>
      </c>
      <c r="O34" s="1599">
        <f t="shared" si="11"/>
        <v>0.10183016061773585</v>
      </c>
      <c r="P34" s="1599">
        <f t="shared" si="11"/>
        <v>0</v>
      </c>
      <c r="Q34" s="1599">
        <f t="shared" si="11"/>
        <v>0</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'Standw.(a)'!K58</f>
        <v>12.32</v>
      </c>
      <c r="N36" s="1772">
        <f>'Standw.(a)'!M58</f>
        <v>6.16</v>
      </c>
      <c r="O36" s="1772">
        <f>'Standw.(a)'!N58</f>
        <v>6.16</v>
      </c>
      <c r="P36" s="1772">
        <f>'Standw.(a)'!O58</f>
        <v>0</v>
      </c>
      <c r="Q36" s="1772">
        <f>'Standw.(a)'!P58</f>
        <v>0</v>
      </c>
      <c r="R36" s="1773">
        <f>'Standw.(a)'!Q58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'Standw.(a)'!K16</f>
        <v>0</v>
      </c>
      <c r="N37" s="1775">
        <f>'Standw.(a)'!M16</f>
        <v>0</v>
      </c>
      <c r="O37" s="1775">
        <f>'Standw.(a)'!N16</f>
        <v>0</v>
      </c>
      <c r="P37" s="1775">
        <f>'Standw.(a)'!O16</f>
        <v>0</v>
      </c>
      <c r="Q37" s="1775">
        <f>'Standw.(a)'!P16</f>
        <v>0</v>
      </c>
      <c r="R37" s="1776">
        <f>'Standw.(a)'!Q16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'Standw.(a)'!M78</f>
        <v>0</v>
      </c>
      <c r="O38" s="1565">
        <f>'Standw.(a)'!N78</f>
        <v>0</v>
      </c>
      <c r="P38" s="1565">
        <f>'Standw.(a)'!O78</f>
        <v>0</v>
      </c>
      <c r="Q38" s="1565">
        <f>'Standw.(a)'!P78</f>
        <v>0</v>
      </c>
      <c r="R38" s="1566">
        <f>'Standw.(a)'!Q78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203.28</v>
      </c>
      <c r="N39" s="235">
        <f t="shared" si="13"/>
        <v>101.64</v>
      </c>
      <c r="O39" s="235">
        <f t="shared" si="13"/>
        <v>101.64</v>
      </c>
      <c r="P39" s="235">
        <f t="shared" si="13"/>
        <v>0</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Maschinen!T43</f>
        <v>111.17085777777777</v>
      </c>
      <c r="N41" s="235">
        <f>N$6/$M$6*$M$41</f>
        <v>66.702514666666659</v>
      </c>
      <c r="O41" s="235">
        <f>O$6/$M$6*$M$41</f>
        <v>44.46834311111111</v>
      </c>
      <c r="P41" s="235">
        <f>P$6/$M$6*$M$41</f>
        <v>0</v>
      </c>
      <c r="Q41" s="235">
        <f>Q$6/$M$6*$M$41</f>
        <v>0</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23.294249999999998</v>
      </c>
      <c r="O42" s="235">
        <f>O$6/$M$6*$M$42</f>
        <v>15.529499999999999</v>
      </c>
      <c r="P42" s="235">
        <f>P$6/$M$6*$M$42</f>
        <v>0</v>
      </c>
      <c r="Q42" s="235">
        <f>Q$6/$M$6*$M$42</f>
        <v>0</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'Lager-Fläche'!$K$47</f>
        <v>80</v>
      </c>
      <c r="N43" s="235">
        <f>N$6/$M$6*$M$43</f>
        <v>48</v>
      </c>
      <c r="O43" s="235">
        <f>O$6/$M$6*$M$43</f>
        <v>32</v>
      </c>
      <c r="P43" s="235">
        <f>P$6/$M$6*$M$43</f>
        <v>0</v>
      </c>
      <c r="Q43" s="235">
        <f>Q$6/$M$6*$M$43</f>
        <v>0</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74.97</v>
      </c>
      <c r="O44" s="1437">
        <f>O$6/$M$6*$M$44</f>
        <v>49.980000000000004</v>
      </c>
      <c r="P44" s="1437">
        <f>P$6/$M$6*$M$44</f>
        <v>0</v>
      </c>
      <c r="Q44" s="1437">
        <f>Q$6/$M$6*$M$44</f>
        <v>0</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558.22460777777781</v>
      </c>
      <c r="N45" s="1449">
        <f t="shared" si="14"/>
        <v>314.60676466666666</v>
      </c>
      <c r="O45" s="1449">
        <f t="shared" si="14"/>
        <v>243.61784311111114</v>
      </c>
      <c r="P45" s="1449">
        <f t="shared" si="14"/>
        <v>0</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796.02077589077783</v>
      </c>
      <c r="N48" s="1577">
        <f t="shared" si="16"/>
        <v>455.32789559816666</v>
      </c>
      <c r="O48" s="1497">
        <f t="shared" si="16"/>
        <v>340.69288029261111</v>
      </c>
      <c r="P48" s="1497">
        <f t="shared" si="16"/>
        <v>0</v>
      </c>
      <c r="Q48" s="1497">
        <f t="shared" si="16"/>
        <v>0</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-796.02077589077783</v>
      </c>
      <c r="N49" s="1575">
        <f t="shared" si="17"/>
        <v>-455.32789559816666</v>
      </c>
      <c r="O49" s="1316">
        <f t="shared" si="17"/>
        <v>-340.69288029261111</v>
      </c>
      <c r="P49" s="1316">
        <f t="shared" si="17"/>
        <v>0</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-0.39164613819964467</v>
      </c>
      <c r="N50" s="1854">
        <f t="shared" si="18"/>
        <v>-0.36794173381670031</v>
      </c>
      <c r="O50" s="1614">
        <f t="shared" si="18"/>
        <v>-0.42854450351271839</v>
      </c>
      <c r="P50" s="1614">
        <f t="shared" si="18"/>
        <v>0</v>
      </c>
      <c r="Q50" s="1614">
        <f t="shared" si="18"/>
        <v>0</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580</v>
      </c>
      <c r="N51" s="1628">
        <f>N17</f>
        <v>348</v>
      </c>
      <c r="O51" s="1629">
        <f>O17</f>
        <v>232</v>
      </c>
      <c r="P51" s="1629">
        <f t="shared" si="19"/>
        <v>0</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-216.02077589077783</v>
      </c>
      <c r="N52" s="1622">
        <f t="shared" si="20"/>
        <v>-107.32789559816666</v>
      </c>
      <c r="O52" s="1537">
        <f t="shared" si="20"/>
        <v>-108.69288029261111</v>
      </c>
      <c r="P52" s="1537">
        <f t="shared" si="20"/>
        <v>0</v>
      </c>
      <c r="Q52" s="1537">
        <f t="shared" si="20"/>
        <v>0</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-0.1062832845711084</v>
      </c>
      <c r="N53" s="1854">
        <f t="shared" si="21"/>
        <v>-8.672961260457912E-2</v>
      </c>
      <c r="O53" s="1614">
        <f t="shared" si="21"/>
        <v>-0.13672060414164919</v>
      </c>
      <c r="P53" s="1614">
        <f t="shared" si="21"/>
        <v>0</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216.02077589077783</v>
      </c>
      <c r="N55" s="1494">
        <f t="shared" si="22"/>
        <v>107.32789559816666</v>
      </c>
      <c r="O55" s="1494">
        <f t="shared" si="22"/>
        <v>108.69288029261111</v>
      </c>
      <c r="P55" s="1494">
        <f t="shared" si="22"/>
        <v>0</v>
      </c>
      <c r="Q55" s="1494">
        <f t="shared" si="22"/>
        <v>0</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1.1521108047508151</v>
      </c>
      <c r="N56" s="1559">
        <f t="shared" si="24"/>
        <v>0.95402573865037033</v>
      </c>
      <c r="O56" s="1559">
        <f t="shared" si="24"/>
        <v>1.4492384039014814</v>
      </c>
      <c r="P56" s="1559">
        <f t="shared" si="24"/>
        <v>0</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5.7605540237540751</v>
      </c>
      <c r="N57" s="2174">
        <f>IF($N$9=0,0,N$55/$N$9)</f>
        <v>4.7701286932518521</v>
      </c>
      <c r="O57" s="2174">
        <f>IF($O$9=0,0,O$55/$O$9)</f>
        <v>7.246192019507407</v>
      </c>
      <c r="P57" s="2174">
        <f>IF($P$9=0,0,P$55/$P$9)</f>
        <v>0</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0.1062832845711084</v>
      </c>
      <c r="N59" s="1586">
        <f t="shared" si="25"/>
        <v>8.672961260457912E-2</v>
      </c>
      <c r="O59" s="1586">
        <f t="shared" si="25"/>
        <v>0.13672060414164919</v>
      </c>
      <c r="P59" s="1586">
        <f t="shared" si="25"/>
        <v>0</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2.9523134603085668E-2</v>
      </c>
      <c r="N60" s="1586">
        <f t="shared" si="26"/>
        <v>2.4091559056827534E-2</v>
      </c>
      <c r="O60" s="1586">
        <f t="shared" si="26"/>
        <v>3.797794559490255E-2</v>
      </c>
      <c r="P60" s="1586">
        <f t="shared" si="26"/>
        <v>0</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IF(M12=0,0,M55/M12)</f>
        <v>0.1062832845711084</v>
      </c>
      <c r="N61" s="1586">
        <f t="shared" ref="N61:R61" si="27">IF(N12=0,0,N55/N12)</f>
        <v>8.672961260457912E-2</v>
      </c>
      <c r="O61" s="1586">
        <f t="shared" si="27"/>
        <v>0.13672060414164919</v>
      </c>
      <c r="P61" s="1586">
        <f t="shared" si="27"/>
        <v>0</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6.3769970742665036E-2</v>
      </c>
      <c r="N62" s="1856">
        <f t="shared" si="28"/>
        <v>5.2037767562747458E-2</v>
      </c>
      <c r="O62" s="1856">
        <f t="shared" si="28"/>
        <v>8.2032362484989518E-2</v>
      </c>
      <c r="P62" s="1856">
        <f t="shared" si="28"/>
        <v>0</v>
      </c>
      <c r="Q62" s="1856">
        <f t="shared" si="28"/>
        <v>0</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216.02077589077783</v>
      </c>
      <c r="N63" s="1313">
        <f t="shared" si="29"/>
        <v>107.32789559816666</v>
      </c>
      <c r="O63" s="1313">
        <f t="shared" si="29"/>
        <v>108.69288029261111</v>
      </c>
      <c r="P63" s="1313">
        <f t="shared" si="29"/>
        <v>0</v>
      </c>
      <c r="Q63" s="1313">
        <f t="shared" si="29"/>
        <v>0</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5.7605540237540751</v>
      </c>
      <c r="N64" s="2174">
        <f>IF($N$9=0,0,N$63/$N$9)</f>
        <v>4.7701286932518521</v>
      </c>
      <c r="O64" s="2174">
        <f>IF($O$9=0,0,O$63/$O$9)</f>
        <v>7.246192019507407</v>
      </c>
      <c r="P64" s="2174">
        <f>IF($P$9=0,0,P$63/$P$9)</f>
        <v>0</v>
      </c>
      <c r="Q64" s="2174">
        <f>IF($Q$9=0,0,Q$63/$Q$9)</f>
        <v>0</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0.1062832845711084</v>
      </c>
      <c r="N65" s="1615">
        <f t="shared" si="30"/>
        <v>8.672961260457912E-2</v>
      </c>
      <c r="O65" s="1615">
        <f t="shared" si="30"/>
        <v>0.13672060414164919</v>
      </c>
      <c r="P65" s="1615">
        <f t="shared" si="30"/>
        <v>0</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6.3769970742665036E-2</v>
      </c>
      <c r="N66" s="1617">
        <f t="shared" si="30"/>
        <v>5.2037767562747458E-2</v>
      </c>
      <c r="O66" s="1617">
        <f t="shared" si="30"/>
        <v>8.2032362484989518E-2</v>
      </c>
      <c r="P66" s="1617">
        <f t="shared" si="30"/>
        <v>0</v>
      </c>
      <c r="Q66" s="1617">
        <f t="shared" si="30"/>
        <v>0</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218.35199483299999</v>
      </c>
      <c r="N68" s="1316">
        <f t="shared" si="31"/>
        <v>130.99904429150001</v>
      </c>
      <c r="O68" s="1316">
        <f t="shared" si="31"/>
        <v>87.352950541499993</v>
      </c>
      <c r="P68" s="1316">
        <f t="shared" si="31"/>
        <v>0</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0.1074302557603936</v>
      </c>
      <c r="N69" s="1487">
        <f t="shared" si="32"/>
        <v>0.1058578135688889</v>
      </c>
      <c r="O69" s="1487">
        <f t="shared" si="32"/>
        <v>0.10987792520943396</v>
      </c>
      <c r="P69" s="1487">
        <f t="shared" si="32"/>
        <v>0</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333.89503105777777</v>
      </c>
      <c r="N70" s="1313">
        <f t="shared" si="33"/>
        <v>178.06460130666665</v>
      </c>
      <c r="O70" s="1313">
        <f t="shared" si="33"/>
        <v>155.83042975111113</v>
      </c>
      <c r="P70" s="1313">
        <f t="shared" si="33"/>
        <v>0</v>
      </c>
      <c r="Q70" s="1313">
        <f t="shared" si="33"/>
        <v>0</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0.16427799806040727</v>
      </c>
      <c r="N71" s="1614">
        <f t="shared" si="34"/>
        <v>0.14389058691447809</v>
      </c>
      <c r="O71" s="1614">
        <f t="shared" si="34"/>
        <v>0.19601311918378758</v>
      </c>
      <c r="P71" s="1614">
        <f t="shared" si="34"/>
        <v>0</v>
      </c>
      <c r="Q71" s="1614">
        <f t="shared" si="34"/>
        <v>0</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N23" sqref="N23"/>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9" tint="-0.249977111117893"/>
    <pageSetUpPr fitToPage="1"/>
  </sheetPr>
  <dimension ref="A1:CU182"/>
  <sheetViews>
    <sheetView showGridLines="0" zoomScale="72" zoomScaleNormal="72" zoomScaleSheetLayoutView="64" zoomScalePageLayoutView="64" workbookViewId="0">
      <pane xSplit="7254" ySplit="571" topLeftCell="E1" activePane="bottomLeft"/>
      <selection pane="topRight" activeCell="E1" sqref="E1"/>
      <selection pane="bottomLeft" activeCell="C63" sqref="C63"/>
      <selection pane="bottomRight" activeCell="F49" sqref="F49"/>
    </sheetView>
  </sheetViews>
  <sheetFormatPr baseColWidth="10" defaultRowHeight="12.9" x14ac:dyDescent="0.2"/>
  <cols>
    <col min="1" max="1" width="2.125" style="8" customWidth="1"/>
    <col min="2" max="2" width="54.375" style="645" customWidth="1"/>
    <col min="3" max="3" width="16" style="645" customWidth="1"/>
    <col min="4" max="4" width="16.625" style="1171" customWidth="1"/>
    <col min="5" max="6" width="14.625" style="648" customWidth="1"/>
    <col min="7" max="8" width="12.375" style="647" customWidth="1"/>
    <col min="9" max="10" width="14.375" style="647" hidden="1" customWidth="1"/>
    <col min="11" max="13" width="14.375" style="647" customWidth="1"/>
    <col min="14" max="16" width="12.625" style="647" customWidth="1"/>
    <col min="17" max="17" width="12.625" style="647" hidden="1" customWidth="1"/>
    <col min="18" max="18" width="11" style="647" customWidth="1"/>
    <col min="19" max="26" width="9.625" style="647" customWidth="1"/>
    <col min="27" max="42" width="9.625" style="648" customWidth="1"/>
    <col min="43" max="48" width="10.625" style="648" customWidth="1"/>
    <col min="49" max="54" width="9.625" style="648" customWidth="1"/>
    <col min="55" max="72" width="9.875" style="648" customWidth="1"/>
    <col min="73" max="74" width="12.625" style="647" customWidth="1"/>
    <col min="75" max="75" width="10.625" style="647" customWidth="1"/>
    <col min="76" max="77" width="11.125" style="647" customWidth="1"/>
    <col min="78" max="80" width="9.625" style="647" customWidth="1"/>
    <col min="81" max="89" width="9.375" style="647" hidden="1" customWidth="1"/>
    <col min="90" max="98" width="10.625" style="647" customWidth="1"/>
  </cols>
  <sheetData>
    <row r="1" spans="1:99" ht="27.7" customHeight="1" thickBot="1" x14ac:dyDescent="0.25">
      <c r="A1" s="7"/>
      <c r="B1" s="2902" t="s">
        <v>176</v>
      </c>
      <c r="C1" s="2902"/>
      <c r="D1" s="2902"/>
      <c r="E1"/>
      <c r="F1"/>
      <c r="AN1"/>
      <c r="AO1"/>
      <c r="AP1"/>
      <c r="AQ1"/>
    </row>
    <row r="2" spans="1:99" s="163" customFormat="1" ht="29.25" customHeight="1" thickBot="1" x14ac:dyDescent="0.25">
      <c r="A2" s="8"/>
      <c r="B2" s="1966" t="str">
        <f>"Alle Produktionsverfahren "&amp;Preise!$AJ$5</f>
        <v>Alle Produktionsverfahren mit MwSt.</v>
      </c>
      <c r="C2" s="1674"/>
      <c r="D2" s="1967">
        <f>Prämien!Y2</f>
        <v>2018</v>
      </c>
      <c r="E2" s="2295" t="s">
        <v>754</v>
      </c>
      <c r="F2" s="2292"/>
      <c r="G2" s="2293"/>
      <c r="H2" s="2293"/>
      <c r="I2" s="2293"/>
      <c r="J2" s="2293"/>
      <c r="K2" s="2293"/>
      <c r="L2" s="2293"/>
      <c r="M2" s="2293"/>
      <c r="N2" s="2293"/>
      <c r="O2" s="2293"/>
      <c r="P2" s="2293"/>
      <c r="Q2" s="2294"/>
      <c r="R2"/>
      <c r="S2" s="3177" t="s">
        <v>117</v>
      </c>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9"/>
      <c r="AQ2"/>
      <c r="AR2"/>
      <c r="AS2"/>
      <c r="AT2"/>
      <c r="AU2"/>
      <c r="AV2"/>
      <c r="AW2" s="7"/>
      <c r="AX2" s="7"/>
      <c r="AY2" s="7"/>
      <c r="AZ2" s="7"/>
      <c r="BA2" s="7"/>
      <c r="BB2" s="7"/>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row>
    <row r="3" spans="1:99" s="163" customFormat="1" ht="53.35" customHeight="1" thickBot="1" x14ac:dyDescent="0.25">
      <c r="A3" s="738"/>
      <c r="B3" s="1968" t="s">
        <v>351</v>
      </c>
      <c r="C3" s="1969"/>
      <c r="D3" s="1970"/>
      <c r="E3" s="3183" t="s">
        <v>249</v>
      </c>
      <c r="F3" s="3184"/>
      <c r="G3" s="3183" t="s">
        <v>250</v>
      </c>
      <c r="H3" s="3184"/>
      <c r="I3" s="3184"/>
      <c r="J3" s="3186"/>
      <c r="K3" s="3183" t="s">
        <v>252</v>
      </c>
      <c r="L3" s="3184"/>
      <c r="M3" s="3184"/>
      <c r="N3" s="3185" t="s">
        <v>253</v>
      </c>
      <c r="O3" s="3175"/>
      <c r="P3" s="3175"/>
      <c r="Q3" s="3176"/>
      <c r="R3"/>
      <c r="S3" s="3180" t="s">
        <v>700</v>
      </c>
      <c r="T3" s="3181"/>
      <c r="U3" s="3182"/>
      <c r="V3" s="3180" t="s">
        <v>701</v>
      </c>
      <c r="W3" s="3181"/>
      <c r="X3" s="3182"/>
      <c r="Y3" s="3187" t="s">
        <v>1227</v>
      </c>
      <c r="Z3" s="3188"/>
      <c r="AA3" s="3189"/>
      <c r="AB3" s="3187" t="s">
        <v>1215</v>
      </c>
      <c r="AC3" s="3188"/>
      <c r="AD3" s="3189"/>
      <c r="AE3" s="3187" t="s">
        <v>1216</v>
      </c>
      <c r="AF3" s="3188"/>
      <c r="AG3" s="3189"/>
      <c r="AH3" s="3174" t="s">
        <v>704</v>
      </c>
      <c r="AI3" s="3175"/>
      <c r="AJ3" s="3176"/>
      <c r="AK3" s="3174" t="s">
        <v>1153</v>
      </c>
      <c r="AL3" s="3175"/>
      <c r="AM3" s="3176"/>
      <c r="AN3" s="3174" t="s">
        <v>1217</v>
      </c>
      <c r="AO3" s="3175"/>
      <c r="AP3" s="3176"/>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row>
    <row r="4" spans="1:99" s="163" customFormat="1" ht="38.75" customHeight="1" thickBot="1" x14ac:dyDescent="0.25">
      <c r="A4" s="739"/>
      <c r="B4" s="2906" t="s">
        <v>67</v>
      </c>
      <c r="C4" s="1881"/>
      <c r="D4" s="1642"/>
      <c r="E4" s="2209" t="s">
        <v>759</v>
      </c>
      <c r="F4" s="2210" t="s">
        <v>760</v>
      </c>
      <c r="G4" s="2858" t="s">
        <v>755</v>
      </c>
      <c r="H4" s="2859" t="s">
        <v>756</v>
      </c>
      <c r="I4" s="2249" t="s">
        <v>761</v>
      </c>
      <c r="J4" s="2249" t="s">
        <v>762</v>
      </c>
      <c r="K4" s="2209" t="s">
        <v>757</v>
      </c>
      <c r="L4" s="2893" t="s">
        <v>758</v>
      </c>
      <c r="M4" s="2859" t="s">
        <v>1233</v>
      </c>
      <c r="N4" s="2209" t="s">
        <v>116</v>
      </c>
      <c r="O4" s="2210" t="s">
        <v>1254</v>
      </c>
      <c r="P4" s="2210" t="s">
        <v>254</v>
      </c>
      <c r="Q4" s="1756" t="s">
        <v>254</v>
      </c>
      <c r="R4"/>
      <c r="S4" s="2289" t="s">
        <v>68</v>
      </c>
      <c r="T4" s="1338" t="s">
        <v>69</v>
      </c>
      <c r="U4" s="1339" t="s">
        <v>70</v>
      </c>
      <c r="V4" s="1337" t="s">
        <v>68</v>
      </c>
      <c r="W4" s="1338" t="s">
        <v>69</v>
      </c>
      <c r="X4" s="1336" t="s">
        <v>70</v>
      </c>
      <c r="Y4" s="1335" t="s">
        <v>68</v>
      </c>
      <c r="Z4" s="1338" t="s">
        <v>69</v>
      </c>
      <c r="AA4" s="1339" t="s">
        <v>70</v>
      </c>
      <c r="AB4" s="1335" t="s">
        <v>68</v>
      </c>
      <c r="AC4" s="1338" t="s">
        <v>69</v>
      </c>
      <c r="AD4" s="1339" t="s">
        <v>70</v>
      </c>
      <c r="AE4" s="1335" t="s">
        <v>68</v>
      </c>
      <c r="AF4" s="1338" t="s">
        <v>69</v>
      </c>
      <c r="AG4" s="1339" t="s">
        <v>70</v>
      </c>
      <c r="AH4" s="2289" t="s">
        <v>68</v>
      </c>
      <c r="AI4" s="1338" t="s">
        <v>69</v>
      </c>
      <c r="AJ4" s="1339" t="s">
        <v>70</v>
      </c>
      <c r="AK4" s="1335" t="s">
        <v>68</v>
      </c>
      <c r="AL4" s="1338" t="s">
        <v>69</v>
      </c>
      <c r="AM4" s="1339" t="s">
        <v>70</v>
      </c>
      <c r="AN4" s="1335" t="s">
        <v>68</v>
      </c>
      <c r="AO4" s="1338" t="s">
        <v>69</v>
      </c>
      <c r="AP4" s="1339" t="s">
        <v>70</v>
      </c>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row>
    <row r="5" spans="1:99" s="163" customFormat="1" ht="17.350000000000001" customHeight="1" x14ac:dyDescent="0.2">
      <c r="A5" s="735"/>
      <c r="B5" s="1675" t="s">
        <v>71</v>
      </c>
      <c r="C5" s="1365"/>
      <c r="D5" s="1643" t="s">
        <v>72</v>
      </c>
      <c r="E5" s="974">
        <f>'G3(b)'!$M$6</f>
        <v>65</v>
      </c>
      <c r="F5" s="2824">
        <f>'G4(b)'!$M$6</f>
        <v>80</v>
      </c>
      <c r="G5" s="2860">
        <f>'GS3(b)'!$M$6</f>
        <v>65</v>
      </c>
      <c r="H5" s="2861">
        <f>'GS4(b)'!$M$6</f>
        <v>80</v>
      </c>
      <c r="I5" s="977" t="e">
        <f>#REF!</f>
        <v>#REF!</v>
      </c>
      <c r="J5" s="978" t="e">
        <f>#REF!</f>
        <v>#REF!</v>
      </c>
      <c r="K5" s="978">
        <f>'H2(b)'!$M$6</f>
        <v>50</v>
      </c>
      <c r="L5" s="2825">
        <f>'H3(b)'!$M$6</f>
        <v>65</v>
      </c>
      <c r="M5" s="2824">
        <f>'HTr.4(b)'!$M$6</f>
        <v>80</v>
      </c>
      <c r="N5" s="975">
        <f>'Stw.(b)'!$M$6</f>
        <v>50</v>
      </c>
      <c r="O5" s="972">
        <f>'Umw.(b)'!$M$6</f>
        <v>65</v>
      </c>
      <c r="P5" s="972">
        <f>'Porw.(b)'!$M$6</f>
        <v>90</v>
      </c>
      <c r="Q5" s="973">
        <f>'G3(b)'!$M$6</f>
        <v>65</v>
      </c>
      <c r="R5"/>
      <c r="S5" s="975">
        <f>'KGGrün(b)'!M6</f>
        <v>80</v>
      </c>
      <c r="T5" s="2937">
        <f>'KGGrün(b)'!N6</f>
        <v>100</v>
      </c>
      <c r="U5" s="973">
        <f>'KGGrün(b)'!O6</f>
        <v>120</v>
      </c>
      <c r="V5" s="975">
        <f>'KSilo(b)'!M6</f>
        <v>70</v>
      </c>
      <c r="W5" s="2937">
        <f>'KSilo(b)'!N6</f>
        <v>90</v>
      </c>
      <c r="X5" s="973">
        <f>'KSilo(b)'!O6</f>
        <v>110</v>
      </c>
      <c r="Y5" s="975">
        <f>'KGCob(b)'!M6</f>
        <v>80</v>
      </c>
      <c r="Z5" s="2937">
        <f>'KGCob(b)'!N6</f>
        <v>100</v>
      </c>
      <c r="AA5" s="973">
        <f>'KGCob(b)'!O6</f>
        <v>120</v>
      </c>
      <c r="AB5" s="975">
        <f>'LuzGrün(b)'!M6</f>
        <v>60</v>
      </c>
      <c r="AC5" s="2937">
        <f>'LuzGrün(b)'!N6</f>
        <v>80</v>
      </c>
      <c r="AD5" s="973">
        <f>'LuzGrün(b)'!O6</f>
        <v>100</v>
      </c>
      <c r="AE5" s="975">
        <f>'LuzHeuTr(b)'!M6</f>
        <v>60</v>
      </c>
      <c r="AF5" s="2937">
        <f>'LuzHeuTr(b)'!N6</f>
        <v>80</v>
      </c>
      <c r="AG5" s="973">
        <f>'LuzHeuTr(b)'!O6</f>
        <v>100</v>
      </c>
      <c r="AH5" s="975">
        <f>'Silomais(b)'!M6</f>
        <v>100</v>
      </c>
      <c r="AI5" s="2937">
        <f>'Silomais(b)'!N6</f>
        <v>120</v>
      </c>
      <c r="AJ5" s="973">
        <f>'Silomais(b)'!O6</f>
        <v>160</v>
      </c>
      <c r="AK5" s="975">
        <f>'GPS G-E(b)'!M6</f>
        <v>50</v>
      </c>
      <c r="AL5" s="2937">
        <f>'GPS G-E(b)'!N6</f>
        <v>70</v>
      </c>
      <c r="AM5" s="973">
        <f>'GPS G-E(b)'!O6</f>
        <v>90</v>
      </c>
      <c r="AN5" s="975">
        <f>'Zwf(b)'!M6</f>
        <v>35</v>
      </c>
      <c r="AO5" s="2937">
        <f>'Zwf(b)'!N6</f>
        <v>45</v>
      </c>
      <c r="AP5" s="973">
        <f>'Zwf(b)'!O6</f>
        <v>55</v>
      </c>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row>
    <row r="6" spans="1:99" s="163" customFormat="1" ht="17.350000000000001" customHeight="1" x14ac:dyDescent="0.2">
      <c r="A6" s="736"/>
      <c r="B6" s="1675" t="s">
        <v>29</v>
      </c>
      <c r="C6" s="1365"/>
      <c r="D6" s="1643" t="s">
        <v>72</v>
      </c>
      <c r="E6" s="981">
        <f>'G3(b)'!$M$7</f>
        <v>61.750000000000007</v>
      </c>
      <c r="F6" s="2826">
        <f>'G4(b)'!$M$7</f>
        <v>76</v>
      </c>
      <c r="G6" s="982">
        <f>'GS3(b)'!$M$7</f>
        <v>61.750000000000007</v>
      </c>
      <c r="H6" s="2862">
        <f>'GS4(b)'!$M$7</f>
        <v>76</v>
      </c>
      <c r="I6" s="979" t="e">
        <f>#REF!</f>
        <v>#REF!</v>
      </c>
      <c r="J6" s="983" t="e">
        <f>#REF!</f>
        <v>#REF!</v>
      </c>
      <c r="K6" s="983">
        <f>'H2(b)'!$M$7</f>
        <v>45</v>
      </c>
      <c r="L6" s="981">
        <f>'H3(b)'!$M$7</f>
        <v>58.5</v>
      </c>
      <c r="M6" s="2826">
        <f>'HTr.4(b)'!$M$7</f>
        <v>74.2</v>
      </c>
      <c r="N6" s="982">
        <f>'Stw.(b)'!$M$7</f>
        <v>37.5</v>
      </c>
      <c r="O6" s="979">
        <f>'Umw.(b)'!$M$7</f>
        <v>51.999999999999993</v>
      </c>
      <c r="P6" s="979">
        <f>'Porw.(b)'!$M$7</f>
        <v>76.5</v>
      </c>
      <c r="Q6" s="980">
        <f>'G3(b)'!$M$7</f>
        <v>61.750000000000007</v>
      </c>
      <c r="R6"/>
      <c r="S6" s="982">
        <f>'KGGrün(b)'!M7</f>
        <v>76</v>
      </c>
      <c r="T6" s="2938">
        <f>'KGGrün(b)'!N7</f>
        <v>95</v>
      </c>
      <c r="U6" s="980">
        <f>'KGGrün(b)'!O7</f>
        <v>114</v>
      </c>
      <c r="V6" s="982">
        <f>'KSilo(b)'!M7</f>
        <v>64.400000000000006</v>
      </c>
      <c r="W6" s="2938">
        <f>'KSilo(b)'!N7</f>
        <v>82.8</v>
      </c>
      <c r="X6" s="980">
        <f>'KSilo(b)'!O7</f>
        <v>101.2</v>
      </c>
      <c r="Y6" s="982">
        <f>'KGCob(b)'!M7</f>
        <v>73.599999999999994</v>
      </c>
      <c r="Z6" s="2938">
        <f>'KGCob(b)'!N7</f>
        <v>92</v>
      </c>
      <c r="AA6" s="980">
        <f>'KGCob(b)'!O7</f>
        <v>110.4</v>
      </c>
      <c r="AB6" s="982">
        <f>'LuzGrün(b)'!M7</f>
        <v>57</v>
      </c>
      <c r="AC6" s="2938">
        <f>'LuzGrün(b)'!N7</f>
        <v>76</v>
      </c>
      <c r="AD6" s="980">
        <f>'LuzGrün(b)'!O7</f>
        <v>95</v>
      </c>
      <c r="AE6" s="982">
        <f>'LuzHeuTr(b)'!M7</f>
        <v>54</v>
      </c>
      <c r="AF6" s="2938">
        <f>'LuzHeuTr(b)'!N7</f>
        <v>72</v>
      </c>
      <c r="AG6" s="980">
        <f>'LuzHeuTr(b)'!O7</f>
        <v>90</v>
      </c>
      <c r="AH6" s="982">
        <f>'Silomais(b)'!M7</f>
        <v>100</v>
      </c>
      <c r="AI6" s="2938">
        <f>'Silomais(b)'!N7</f>
        <v>120</v>
      </c>
      <c r="AJ6" s="980">
        <f>'Silomais(b)'!O7</f>
        <v>160</v>
      </c>
      <c r="AK6" s="982">
        <f>'GPS G-E(b)'!M7</f>
        <v>47.5</v>
      </c>
      <c r="AL6" s="2938">
        <f>'GPS G-E(b)'!N7</f>
        <v>66.5</v>
      </c>
      <c r="AM6" s="980">
        <f>'GPS G-E(b)'!O7</f>
        <v>85.5</v>
      </c>
      <c r="AN6" s="982">
        <f>'Zwf(b)'!M7</f>
        <v>32.200000000000003</v>
      </c>
      <c r="AO6" s="2938">
        <f>'Zwf(b)'!N7</f>
        <v>41.4</v>
      </c>
      <c r="AP6" s="980">
        <f>'Zwf(b)'!O7</f>
        <v>50.6</v>
      </c>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row>
    <row r="7" spans="1:99" s="163" customFormat="1" ht="17.350000000000001" customHeight="1" x14ac:dyDescent="0.2">
      <c r="A7" s="736"/>
      <c r="B7" s="1675" t="s">
        <v>1258</v>
      </c>
      <c r="C7" s="1882"/>
      <c r="D7" s="1644" t="s">
        <v>376</v>
      </c>
      <c r="E7" s="981">
        <f>'G3(b)'!$M$8</f>
        <v>343.05555555555554</v>
      </c>
      <c r="F7" s="2826">
        <f>'G4(b)'!$M$8</f>
        <v>422.22222222222223</v>
      </c>
      <c r="G7" s="982">
        <f>'GS3(b)'!$M$8</f>
        <v>176.42857142857142</v>
      </c>
      <c r="H7" s="2862">
        <f>'GS4(b)'!$M$8</f>
        <v>217.14285714285717</v>
      </c>
      <c r="I7" s="979" t="e">
        <f>#REF!</f>
        <v>#REF!</v>
      </c>
      <c r="J7" s="983" t="e">
        <f>#REF!</f>
        <v>#REF!</v>
      </c>
      <c r="K7" s="983">
        <f>'H2(b)'!$M$8</f>
        <v>51.13636363636364</v>
      </c>
      <c r="L7" s="981">
        <f>'H3(b)'!$M$8</f>
        <v>66.477272727272734</v>
      </c>
      <c r="M7" s="2826">
        <f>'HTr.4(b)'!$M$8</f>
        <v>84.318181818181813</v>
      </c>
      <c r="N7" s="982">
        <f>'Stw.(b)'!$M$8</f>
        <v>187.5</v>
      </c>
      <c r="O7" s="979">
        <f>'Umw.(b)'!$M$8</f>
        <v>273.68421052631578</v>
      </c>
      <c r="P7" s="979">
        <f>'Porw.(b)'!$M$8</f>
        <v>425</v>
      </c>
      <c r="Q7" s="980">
        <f>'G3(b)'!$M$8</f>
        <v>343.05555555555554</v>
      </c>
      <c r="R7"/>
      <c r="S7" s="982">
        <f>'KGGrün(b)'!M8</f>
        <v>475</v>
      </c>
      <c r="T7" s="2938">
        <f>'KGGrün(b)'!N8</f>
        <v>593.75</v>
      </c>
      <c r="U7" s="980">
        <f>'KGGrün(b)'!O8</f>
        <v>712.5</v>
      </c>
      <c r="V7" s="982">
        <f>'KSilo(b)'!M8</f>
        <v>195.15151515151516</v>
      </c>
      <c r="W7" s="2938">
        <f>'KSilo(b)'!N8</f>
        <v>250.90909090909088</v>
      </c>
      <c r="X7" s="980">
        <f>'KSilo(b)'!O8</f>
        <v>306.66666666666669</v>
      </c>
      <c r="Y7" s="982">
        <f>'KGCob(b)'!M8</f>
        <v>459.99999999999994</v>
      </c>
      <c r="Z7" s="2938">
        <f>'KGCob(b)'!N8</f>
        <v>575</v>
      </c>
      <c r="AA7" s="980">
        <f>'KGCob(b)'!O8</f>
        <v>690</v>
      </c>
      <c r="AB7" s="982">
        <f>'LuzGrün(b)'!M8</f>
        <v>356.25</v>
      </c>
      <c r="AC7" s="2938">
        <f>'LuzGrün(b)'!N8</f>
        <v>475</v>
      </c>
      <c r="AD7" s="980">
        <f>'LuzGrün(b)'!O8</f>
        <v>593.75</v>
      </c>
      <c r="AE7" s="982">
        <f>'LuzHeuTr(b)'!M8</f>
        <v>65.853658536585371</v>
      </c>
      <c r="AF7" s="2938">
        <f>'LuzHeuTr(b)'!N8</f>
        <v>87.804878048780495</v>
      </c>
      <c r="AG7" s="980">
        <f>'LuzHeuTr(b)'!O8</f>
        <v>109.75609756097562</v>
      </c>
      <c r="AH7" s="982">
        <f>'Silomais(b)'!M8</f>
        <v>303.030303030303</v>
      </c>
      <c r="AI7" s="2938">
        <f>'Silomais(b)'!N8</f>
        <v>363.63636363636363</v>
      </c>
      <c r="AJ7" s="980">
        <f>'Silomais(b)'!O8</f>
        <v>484.84848484848487</v>
      </c>
      <c r="AK7" s="982">
        <f>'GPS G-E(b)'!M8</f>
        <v>169.64285714285714</v>
      </c>
      <c r="AL7" s="2938">
        <f>'GPS G-E(b)'!N8</f>
        <v>237.5</v>
      </c>
      <c r="AM7" s="980">
        <f>'GPS G-E(b)'!O8</f>
        <v>305.35714285714283</v>
      </c>
      <c r="AN7" s="982">
        <f>'Zwf(b)'!M8</f>
        <v>178.88888888888889</v>
      </c>
      <c r="AO7" s="2938">
        <f>'Zwf(b)'!N8</f>
        <v>229.99999999999997</v>
      </c>
      <c r="AP7" s="980">
        <f>'Zwf(b)'!O8</f>
        <v>281.11111111111114</v>
      </c>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row>
    <row r="8" spans="1:99" s="1964" customFormat="1" ht="17.350000000000001" customHeight="1" x14ac:dyDescent="0.25">
      <c r="A8" s="735"/>
      <c r="B8" s="1675" t="s">
        <v>219</v>
      </c>
      <c r="C8" s="1365"/>
      <c r="D8" s="1643" t="s">
        <v>72</v>
      </c>
      <c r="E8" s="974">
        <f>'G3(b)'!$M$9</f>
        <v>61.750000000000007</v>
      </c>
      <c r="F8" s="2827">
        <f>'G4(b)'!$M$9</f>
        <v>76</v>
      </c>
      <c r="G8" s="975">
        <f>'GS3(b)'!$M$9</f>
        <v>57.427500000000002</v>
      </c>
      <c r="H8" s="2863">
        <f>'GS4(b)'!$M$9</f>
        <v>70.679999999999993</v>
      </c>
      <c r="I8" s="972" t="e">
        <f>#REF!</f>
        <v>#REF!</v>
      </c>
      <c r="J8" s="976" t="e">
        <f>#REF!</f>
        <v>#REF!</v>
      </c>
      <c r="K8" s="976">
        <f>'H2(b)'!$M$9</f>
        <v>42.75</v>
      </c>
      <c r="L8" s="974">
        <f>'H3(b)'!$M$9</f>
        <v>55.575000000000003</v>
      </c>
      <c r="M8" s="2827">
        <f>'HTr.4(b)'!$M$9</f>
        <v>70.490000000000009</v>
      </c>
      <c r="N8" s="975">
        <f>'Stw.(b)'!$M$9</f>
        <v>37.5</v>
      </c>
      <c r="O8" s="972">
        <f>'Umw.(b)'!$M$9</f>
        <v>51.999999999999993</v>
      </c>
      <c r="P8" s="972">
        <f>'Porw.(b)'!$M$9</f>
        <v>76.5</v>
      </c>
      <c r="Q8" s="973">
        <f>'G3(b)'!$M$9</f>
        <v>61.750000000000007</v>
      </c>
      <c r="R8"/>
      <c r="S8" s="975">
        <f>'KGGrün(b)'!M9</f>
        <v>76</v>
      </c>
      <c r="T8" s="2937">
        <f>'KGGrün(b)'!N9</f>
        <v>95</v>
      </c>
      <c r="U8" s="973">
        <f>'KGGrün(b)'!O9</f>
        <v>114</v>
      </c>
      <c r="V8" s="975">
        <f>'KSilo(b)'!M9</f>
        <v>57.960000000000008</v>
      </c>
      <c r="W8" s="2937">
        <f>'KSilo(b)'!N9</f>
        <v>74.52</v>
      </c>
      <c r="X8" s="973">
        <f>'KSilo(b)'!O9</f>
        <v>91.08</v>
      </c>
      <c r="Y8" s="975">
        <f>'KGCob(b)'!M9</f>
        <v>73.599999999999994</v>
      </c>
      <c r="Z8" s="2937">
        <f>'KGCob(b)'!N9</f>
        <v>92</v>
      </c>
      <c r="AA8" s="973">
        <f>'KGCob(b)'!O9</f>
        <v>110.4</v>
      </c>
      <c r="AB8" s="975">
        <f>'LuzGrün(b)'!M9</f>
        <v>57</v>
      </c>
      <c r="AC8" s="2937">
        <f>'LuzGrün(b)'!N9</f>
        <v>76</v>
      </c>
      <c r="AD8" s="973">
        <f>'LuzGrün(b)'!O9</f>
        <v>95</v>
      </c>
      <c r="AE8" s="975">
        <f>'LuzHeuTr(b)'!M9</f>
        <v>51.3</v>
      </c>
      <c r="AF8" s="2937">
        <f>'LuzHeuTr(b)'!N9</f>
        <v>68.400000000000006</v>
      </c>
      <c r="AG8" s="973">
        <f>'LuzHeuTr(b)'!O9</f>
        <v>85.5</v>
      </c>
      <c r="AH8" s="975">
        <f>'Silomais(b)'!M9</f>
        <v>95</v>
      </c>
      <c r="AI8" s="2937">
        <f>'Silomais(b)'!N9</f>
        <v>114</v>
      </c>
      <c r="AJ8" s="973">
        <f>'Silomais(b)'!O9</f>
        <v>152</v>
      </c>
      <c r="AK8" s="975">
        <f>'GPS G-E(b)'!M9</f>
        <v>42.75</v>
      </c>
      <c r="AL8" s="2937">
        <f>'GPS G-E(b)'!N9</f>
        <v>59.85</v>
      </c>
      <c r="AM8" s="973">
        <f>'GPS G-E(b)'!O9</f>
        <v>76.95</v>
      </c>
      <c r="AN8" s="975">
        <f>'Zwf(b)'!M9</f>
        <v>28.980000000000004</v>
      </c>
      <c r="AO8" s="2937">
        <f>'Zwf(b)'!N9</f>
        <v>37.26</v>
      </c>
      <c r="AP8" s="973">
        <f>'Zwf(b)'!O9</f>
        <v>45.54</v>
      </c>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row>
    <row r="9" spans="1:99" s="1964" customFormat="1" ht="17.350000000000001" customHeight="1" x14ac:dyDescent="0.25">
      <c r="A9" s="735"/>
      <c r="B9" s="1675" t="s">
        <v>1257</v>
      </c>
      <c r="C9" s="1365"/>
      <c r="D9" s="1644" t="s">
        <v>376</v>
      </c>
      <c r="E9" s="3025">
        <f>'G3(b)'!$M$10</f>
        <v>343.05555555555554</v>
      </c>
      <c r="F9" s="3026">
        <f>'G4(b)'!$M$10</f>
        <v>422.22222222222223</v>
      </c>
      <c r="G9" s="3027">
        <f>'GS3(b)'!$M$10</f>
        <v>155.20945945945948</v>
      </c>
      <c r="H9" s="3028">
        <f>'GS4(b)'!$M$10</f>
        <v>191.02702702702703</v>
      </c>
      <c r="I9" s="3029" t="e">
        <f>#REF!</f>
        <v>#REF!</v>
      </c>
      <c r="J9" s="3030" t="e">
        <f>#REF!</f>
        <v>#REF!</v>
      </c>
      <c r="K9" s="3030">
        <f>'H2(b)'!$M$10</f>
        <v>47.5</v>
      </c>
      <c r="L9" s="3025">
        <f>'H3(b)'!$M$10</f>
        <v>61.75</v>
      </c>
      <c r="M9" s="3026">
        <f>'HTr.4(b)'!$M$10</f>
        <v>78.322222222222223</v>
      </c>
      <c r="N9" s="3027">
        <f>'Stw.(b)'!$M$10</f>
        <v>187.5</v>
      </c>
      <c r="O9" s="3029">
        <f>'Umw.(b)'!$M$10</f>
        <v>273.68421052631578</v>
      </c>
      <c r="P9" s="3029">
        <f>'Porw.(b)'!$M$10</f>
        <v>425</v>
      </c>
      <c r="Q9" s="3031"/>
      <c r="R9" s="405"/>
      <c r="S9" s="3027">
        <f>'KGGrün(b)'!M10</f>
        <v>475</v>
      </c>
      <c r="T9" s="3032">
        <f>'KGGrün(b)'!N10</f>
        <v>593.75</v>
      </c>
      <c r="U9" s="3031">
        <f>'KGGrün(b)'!O10</f>
        <v>712.5</v>
      </c>
      <c r="V9" s="3027">
        <f>'KSilo(b)'!M10</f>
        <v>165.60000000000002</v>
      </c>
      <c r="W9" s="3032">
        <f>'KSilo(b)'!N10</f>
        <v>212.91428571428571</v>
      </c>
      <c r="X9" s="3031">
        <f>'KSilo(b)'!O10</f>
        <v>260.22857142857146</v>
      </c>
      <c r="Y9" s="3027">
        <f>'KGCob(b)'!M10</f>
        <v>81.777777777777771</v>
      </c>
      <c r="Z9" s="3032">
        <f>'KGCob(b)'!N10</f>
        <v>102.22222222222221</v>
      </c>
      <c r="AA9" s="3031">
        <f>'KGCob(b)'!O10</f>
        <v>122.66666666666669</v>
      </c>
      <c r="AB9" s="3027">
        <f>'LuzGrün(b)'!M10</f>
        <v>356.25</v>
      </c>
      <c r="AC9" s="3032">
        <f>'LuzGrün(b)'!N10</f>
        <v>475</v>
      </c>
      <c r="AD9" s="3031">
        <f>'LuzGrün(b)'!O10</f>
        <v>593.75</v>
      </c>
      <c r="AE9" s="3027">
        <f>'LuzHeuTr(b)'!M10</f>
        <v>59.651162790697676</v>
      </c>
      <c r="AF9" s="3032">
        <f>'LuzHeuTr(b)'!N10</f>
        <v>79.534883720930239</v>
      </c>
      <c r="AG9" s="3031">
        <f>'LuzHeuTr(b)'!O10</f>
        <v>99.418604651162795</v>
      </c>
      <c r="AH9" s="3027">
        <f>'Silomais(b)'!M10</f>
        <v>271.42857142857144</v>
      </c>
      <c r="AI9" s="3032">
        <f>'Silomais(b)'!N10</f>
        <v>325.71428571428572</v>
      </c>
      <c r="AJ9" s="3031">
        <f>'Silomais(b)'!O10</f>
        <v>434.28571428571428</v>
      </c>
      <c r="AK9" s="3027">
        <f>'GPS G-E(b)'!M10</f>
        <v>122.14285714285715</v>
      </c>
      <c r="AL9" s="3032">
        <f>'GPS G-E(b)'!N10</f>
        <v>171</v>
      </c>
      <c r="AM9" s="3031">
        <f>'GPS G-E(b)'!O10</f>
        <v>219.85714285714289</v>
      </c>
      <c r="AN9" s="3027">
        <f>'Zwf(b)'!M10</f>
        <v>161.00000000000003</v>
      </c>
      <c r="AO9" s="3032">
        <f>'Zwf(b)'!N10</f>
        <v>206.99999999999997</v>
      </c>
      <c r="AP9" s="3031">
        <f>'Zwf(b)'!O10</f>
        <v>252.99999999999997</v>
      </c>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row>
    <row r="10" spans="1:99" s="163" customFormat="1" ht="17.350000000000001" customHeight="1" x14ac:dyDescent="0.2">
      <c r="A10" s="736"/>
      <c r="B10" s="1675" t="s">
        <v>379</v>
      </c>
      <c r="C10" s="1365"/>
      <c r="D10" s="1644"/>
      <c r="E10" s="981"/>
      <c r="F10" s="2826"/>
      <c r="G10" s="982"/>
      <c r="H10" s="2862"/>
      <c r="I10" s="979"/>
      <c r="J10" s="983"/>
      <c r="K10" s="983"/>
      <c r="L10" s="981"/>
      <c r="M10" s="2826"/>
      <c r="N10" s="982"/>
      <c r="O10" s="979"/>
      <c r="P10" s="979"/>
      <c r="Q10" s="980"/>
      <c r="R10"/>
      <c r="S10" s="982"/>
      <c r="T10" s="2938"/>
      <c r="U10" s="980"/>
      <c r="V10" s="982"/>
      <c r="W10" s="2938"/>
      <c r="X10" s="980"/>
      <c r="Y10" s="982"/>
      <c r="Z10" s="2938"/>
      <c r="AA10" s="980"/>
      <c r="AB10" s="982"/>
      <c r="AC10" s="2938"/>
      <c r="AD10" s="980"/>
      <c r="AE10" s="982"/>
      <c r="AF10" s="2938"/>
      <c r="AG10" s="980"/>
      <c r="AH10" s="982"/>
      <c r="AI10" s="2938"/>
      <c r="AJ10" s="980"/>
      <c r="AK10" s="982"/>
      <c r="AL10" s="2938"/>
      <c r="AM10" s="980"/>
      <c r="AN10" s="982"/>
      <c r="AO10" s="2938"/>
      <c r="AP10" s="98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row>
    <row r="11" spans="1:99" s="163" customFormat="1" ht="17.350000000000001" customHeight="1" x14ac:dyDescent="0.2">
      <c r="A11" s="735"/>
      <c r="B11" s="2018" t="s">
        <v>702</v>
      </c>
      <c r="C11" s="1883"/>
      <c r="D11" s="1645"/>
      <c r="E11" s="986">
        <f>'G3(b)'!$M$12</f>
        <v>3735.875</v>
      </c>
      <c r="F11" s="2828">
        <f>'G4(b)'!$M$12</f>
        <v>4674</v>
      </c>
      <c r="G11" s="987">
        <f>'GS3(b)'!$M$12</f>
        <v>3244.6537499999999</v>
      </c>
      <c r="H11" s="2864">
        <f>'GS4(b)'!$M$12</f>
        <v>4233.732</v>
      </c>
      <c r="I11" s="984" t="e">
        <f>#REF!</f>
        <v>#REF!</v>
      </c>
      <c r="J11" s="988" t="e">
        <f>#REF!</f>
        <v>#REF!</v>
      </c>
      <c r="K11" s="988">
        <f>'H2(b)'!$M$12</f>
        <v>2103.3000000000002</v>
      </c>
      <c r="L11" s="986">
        <f>'H3(b)'!$M$12</f>
        <v>2967.7049999999999</v>
      </c>
      <c r="M11" s="2828">
        <f>'HTr.4(b)'!$M$12</f>
        <v>3941.7400000000007</v>
      </c>
      <c r="N11" s="987">
        <f>'Stw.(b)'!$M$12</f>
        <v>2032.5</v>
      </c>
      <c r="O11" s="984">
        <f>'Umw.(b)'!$M$12</f>
        <v>3146</v>
      </c>
      <c r="P11" s="984">
        <f>'Porw.(b)'!$M$12</f>
        <v>4704.75</v>
      </c>
      <c r="Q11" s="985">
        <f>'G3(b)'!$M$12</f>
        <v>3735.875</v>
      </c>
      <c r="R11"/>
      <c r="S11" s="987">
        <f>'KGGrün(b)'!M12</f>
        <v>4484</v>
      </c>
      <c r="T11" s="2939">
        <f>'KGGrün(b)'!N12</f>
        <v>5605</v>
      </c>
      <c r="U11" s="985">
        <f>'KGGrün(b)'!O12</f>
        <v>6726</v>
      </c>
      <c r="V11" s="987">
        <f>'KSilo(b)'!M12</f>
        <v>3477.6000000000004</v>
      </c>
      <c r="W11" s="2939">
        <f>'KSilo(b)'!N12</f>
        <v>4471.2</v>
      </c>
      <c r="X11" s="985">
        <f>'KSilo(b)'!O12</f>
        <v>5464.8</v>
      </c>
      <c r="Y11" s="987">
        <f>'KGCob(b)'!M12</f>
        <v>4047.9999999999995</v>
      </c>
      <c r="Z11" s="2939">
        <f>'KGCob(b)'!N12</f>
        <v>5060</v>
      </c>
      <c r="AA11" s="985">
        <f>'KGCob(b)'!O12</f>
        <v>6072</v>
      </c>
      <c r="AB11" s="987">
        <f>'LuzGrün(b)'!M12</f>
        <v>3305.9999999999995</v>
      </c>
      <c r="AC11" s="2939">
        <f>'LuzGrün(b)'!N12</f>
        <v>4408</v>
      </c>
      <c r="AD11" s="985">
        <f>'LuzGrün(b)'!O12</f>
        <v>5510</v>
      </c>
      <c r="AE11" s="987">
        <f>'LuzHeuTr(b)'!M12</f>
        <v>2667.6</v>
      </c>
      <c r="AF11" s="2939">
        <f>'LuzHeuTr(b)'!N12</f>
        <v>3556.8000000000006</v>
      </c>
      <c r="AG11" s="985">
        <f>'LuzHeuTr(b)'!O12</f>
        <v>4446</v>
      </c>
      <c r="AH11" s="987">
        <f>'Silomais(b)'!M12</f>
        <v>6080</v>
      </c>
      <c r="AI11" s="2939">
        <f>'Silomais(b)'!N12</f>
        <v>7410</v>
      </c>
      <c r="AJ11" s="985">
        <f>'Silomais(b)'!O12</f>
        <v>10032</v>
      </c>
      <c r="AK11" s="987">
        <f>'GPS G-E(b)'!M12</f>
        <v>2394</v>
      </c>
      <c r="AL11" s="2939">
        <f>'GPS G-E(b)'!N12</f>
        <v>3351.5999999999995</v>
      </c>
      <c r="AM11" s="985">
        <f>'GPS G-E(b)'!O12</f>
        <v>4309.2</v>
      </c>
      <c r="AN11" s="987">
        <f>'Zwf(b)'!M12</f>
        <v>1738.8000000000002</v>
      </c>
      <c r="AO11" s="2939">
        <f>'Zwf(b)'!N12</f>
        <v>2235.6</v>
      </c>
      <c r="AP11" s="985">
        <f>'Zwf(b)'!O12</f>
        <v>2732.4</v>
      </c>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row>
    <row r="12" spans="1:99" s="163" customFormat="1" ht="17.350000000000001" customHeight="1" thickBot="1" x14ac:dyDescent="0.25">
      <c r="A12" s="736"/>
      <c r="B12" s="2017" t="s">
        <v>703</v>
      </c>
      <c r="C12" s="1884"/>
      <c r="D12" s="1694"/>
      <c r="E12" s="1696">
        <f>'G3(b)'!$M$13</f>
        <v>6226.458333333333</v>
      </c>
      <c r="F12" s="2829">
        <f>'G4(b)'!$M$13</f>
        <v>7790.0000000000009</v>
      </c>
      <c r="G12" s="1697">
        <f>'GS3(b)'!$M$13</f>
        <v>5407.7562500000004</v>
      </c>
      <c r="H12" s="2865">
        <f>'GS4(b)'!$M$13</f>
        <v>7056.2199999999993</v>
      </c>
      <c r="I12" s="1699" t="e">
        <f>#REF!</f>
        <v>#REF!</v>
      </c>
      <c r="J12" s="1695" t="e">
        <f>#REF!</f>
        <v>#REF!</v>
      </c>
      <c r="K12" s="1695">
        <f>'H2(b)'!$M$13</f>
        <v>3505.5</v>
      </c>
      <c r="L12" s="1696">
        <f>'H3(b)'!$M$13</f>
        <v>4946.1750000000011</v>
      </c>
      <c r="M12" s="2829">
        <f>'HTr.4(b)'!$M$13</f>
        <v>6569.5666666666675</v>
      </c>
      <c r="N12" s="1697">
        <f>'Stw.(b)'!$M$13</f>
        <v>3387.5000000000005</v>
      </c>
      <c r="O12" s="1699">
        <f>'Umw.(b)'!$M$13</f>
        <v>5243.333333333333</v>
      </c>
      <c r="P12" s="1699">
        <f>'Porw.(b)'!$M$13</f>
        <v>7841.25</v>
      </c>
      <c r="Q12" s="1698">
        <f>'G3(b)'!$M$13</f>
        <v>6226.458333333333</v>
      </c>
      <c r="R12"/>
      <c r="S12" s="1697">
        <f>'KGGrün(b)'!M13</f>
        <v>7473.3333333333339</v>
      </c>
      <c r="T12" s="2940">
        <f>'KGGrün(b)'!N13</f>
        <v>9341.6666666666679</v>
      </c>
      <c r="U12" s="1698">
        <f>'KGGrün(b)'!O13</f>
        <v>11210</v>
      </c>
      <c r="V12" s="1697">
        <f>'KSilo(b)'!M13</f>
        <v>5796.0000000000018</v>
      </c>
      <c r="W12" s="2940">
        <f>'KSilo(b)'!N13</f>
        <v>7451.9999999999991</v>
      </c>
      <c r="X12" s="1698">
        <f>'KSilo(b)'!O13</f>
        <v>9108</v>
      </c>
      <c r="Y12" s="1697">
        <f>'KGCob(b)'!M13</f>
        <v>6746.6666666666679</v>
      </c>
      <c r="Z12" s="2940">
        <f>'KGCob(b)'!N13</f>
        <v>8433.3333333333358</v>
      </c>
      <c r="AA12" s="1698">
        <f>'KGCob(b)'!O13</f>
        <v>10120.000000000002</v>
      </c>
      <c r="AB12" s="1697">
        <f>'LuzGrün(b)'!M13</f>
        <v>5510</v>
      </c>
      <c r="AC12" s="2940">
        <f>'LuzGrün(b)'!N13</f>
        <v>7346.6666666666661</v>
      </c>
      <c r="AD12" s="1698">
        <f>'LuzGrün(b)'!O13</f>
        <v>9183.3333333333321</v>
      </c>
      <c r="AE12" s="1697">
        <f>'LuzHeuTr(b)'!M13</f>
        <v>4446</v>
      </c>
      <c r="AF12" s="2940">
        <f>'LuzHeuTr(b)'!N13</f>
        <v>5928.0000000000018</v>
      </c>
      <c r="AG12" s="1698">
        <f>'LuzHeuTr(b)'!O13</f>
        <v>7410.0000000000009</v>
      </c>
      <c r="AH12" s="1697">
        <f>'Silomais(b)'!M13</f>
        <v>10133.333333333336</v>
      </c>
      <c r="AI12" s="2940">
        <f>'Silomais(b)'!N13</f>
        <v>12350</v>
      </c>
      <c r="AJ12" s="1698">
        <f>'Silomais(b)'!O13</f>
        <v>16720</v>
      </c>
      <c r="AK12" s="1697">
        <f>'GPS G-E(b)'!M13</f>
        <v>3990</v>
      </c>
      <c r="AL12" s="2940">
        <f>'GPS G-E(b)'!N13</f>
        <v>5586</v>
      </c>
      <c r="AM12" s="1698">
        <f>'GPS G-E(b)'!O13</f>
        <v>7182</v>
      </c>
      <c r="AN12" s="1697">
        <f>'Zwf(b)'!M13</f>
        <v>2898.0000000000009</v>
      </c>
      <c r="AO12" s="2940">
        <f>'Zwf(b)'!N13</f>
        <v>3725.9999999999995</v>
      </c>
      <c r="AP12" s="1698">
        <f>'Zwf(b)'!O13</f>
        <v>4554</v>
      </c>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row>
    <row r="13" spans="1:99" s="163" customFormat="1" ht="17.350000000000001" hidden="1" customHeight="1" x14ac:dyDescent="0.2">
      <c r="A13" s="199"/>
      <c r="B13" s="1676" t="s">
        <v>1119</v>
      </c>
      <c r="C13" s="1883"/>
      <c r="D13" s="1645" t="s">
        <v>154</v>
      </c>
      <c r="E13" s="974" t="e">
        <f>'G3(b)'!#REF!</f>
        <v>#REF!</v>
      </c>
      <c r="F13" s="2827" t="e">
        <f>'G3(b)'!#REF!</f>
        <v>#REF!</v>
      </c>
      <c r="G13" s="975" t="e">
        <f>'GS3(b)'!#REF!</f>
        <v>#REF!</v>
      </c>
      <c r="H13" s="2863" t="e">
        <f>'GS4(b)'!#REF!</f>
        <v>#REF!</v>
      </c>
      <c r="I13" s="972" t="e">
        <f>#REF!</f>
        <v>#REF!</v>
      </c>
      <c r="J13" s="976" t="e">
        <f>#REF!</f>
        <v>#REF!</v>
      </c>
      <c r="K13" s="976" t="e">
        <f>'H2(b)'!#REF!</f>
        <v>#REF!</v>
      </c>
      <c r="L13" s="974" t="e">
        <f>'H3(b)'!#REF!</f>
        <v>#REF!</v>
      </c>
      <c r="M13" s="2827" t="e">
        <f>'HTr.4(b)'!#REF!</f>
        <v>#REF!</v>
      </c>
      <c r="N13" s="975" t="e">
        <f>'Stw.(b)'!#REF!</f>
        <v>#REF!</v>
      </c>
      <c r="O13" s="972" t="e">
        <f>'Umw.(b)'!#REF!</f>
        <v>#REF!</v>
      </c>
      <c r="P13" s="972" t="e">
        <f>'Porw.(b)'!#REF!</f>
        <v>#REF!</v>
      </c>
      <c r="Q13" s="973" t="e">
        <f>'G3(b)'!#REF!</f>
        <v>#REF!</v>
      </c>
      <c r="R13"/>
      <c r="S13" s="975">
        <f>'KGGrün(b)'!M30</f>
        <v>500</v>
      </c>
      <c r="T13" s="2937">
        <f>'KGGrün(b)'!N30</f>
        <v>500</v>
      </c>
      <c r="U13" s="973">
        <f>'KGGrün(b)'!O30</f>
        <v>500</v>
      </c>
      <c r="V13" s="975">
        <f>'KSilo(b)'!M30</f>
        <v>500</v>
      </c>
      <c r="W13" s="2937">
        <f>'KSilo(b)'!N30</f>
        <v>500</v>
      </c>
      <c r="X13" s="973">
        <f>'KSilo(b)'!O30</f>
        <v>500</v>
      </c>
      <c r="Y13" s="975">
        <f>'KGCob(b)'!M30</f>
        <v>500</v>
      </c>
      <c r="Z13" s="2937">
        <f>'KGCob(b)'!N30</f>
        <v>500</v>
      </c>
      <c r="AA13" s="973">
        <f>'KGCob(b)'!O30</f>
        <v>500</v>
      </c>
      <c r="AB13" s="975">
        <f>'LuzGrün(b)'!M30</f>
        <v>500</v>
      </c>
      <c r="AC13" s="2937">
        <f>'LuzGrün(b)'!N30</f>
        <v>500</v>
      </c>
      <c r="AD13" s="973">
        <f>'LuzGrün(b)'!O30</f>
        <v>500</v>
      </c>
      <c r="AE13" s="975">
        <f>'LuzHeuTr(b)'!M30</f>
        <v>500</v>
      </c>
      <c r="AF13" s="2937">
        <f>'LuzHeuTr(b)'!N30</f>
        <v>500</v>
      </c>
      <c r="AG13" s="973">
        <f>'LuzHeuTr(b)'!O30</f>
        <v>500</v>
      </c>
      <c r="AH13" s="975">
        <f>'Silomais(b)'!M30</f>
        <v>500</v>
      </c>
      <c r="AI13" s="2937">
        <f>'Silomais(b)'!N30</f>
        <v>500</v>
      </c>
      <c r="AJ13" s="973">
        <f>'Silomais(b)'!O30</f>
        <v>500</v>
      </c>
      <c r="AK13" s="975">
        <f>'GPS G-E(b)'!M30</f>
        <v>500</v>
      </c>
      <c r="AL13" s="2937">
        <f>'GPS G-E(b)'!N30</f>
        <v>500</v>
      </c>
      <c r="AM13" s="973">
        <f>'GPS G-E(b)'!O30</f>
        <v>500</v>
      </c>
      <c r="AN13" s="975">
        <f>'Zwf(b)'!M30</f>
        <v>0</v>
      </c>
      <c r="AO13" s="2937">
        <f>'Zwf(b)'!N30</f>
        <v>0</v>
      </c>
      <c r="AP13" s="973">
        <f>'Zwf(b)'!O30</f>
        <v>0</v>
      </c>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row>
    <row r="14" spans="1:99" s="163" customFormat="1" ht="4.25" customHeight="1" thickBot="1" x14ac:dyDescent="0.25">
      <c r="A14" s="1691"/>
      <c r="B14" s="1733"/>
      <c r="C14" s="1885"/>
      <c r="D14" s="1692"/>
      <c r="E14" s="1693"/>
      <c r="F14" s="2830"/>
      <c r="G14" s="1722"/>
      <c r="H14" s="1731"/>
      <c r="I14" s="1719"/>
      <c r="J14" s="1719"/>
      <c r="K14" s="1723"/>
      <c r="L14" s="1693"/>
      <c r="M14" s="2830"/>
      <c r="N14" s="1722"/>
      <c r="O14" s="1693"/>
      <c r="P14" s="1693"/>
      <c r="Q14" s="1731"/>
      <c r="R14"/>
      <c r="S14" s="1955"/>
      <c r="T14" s="1693"/>
      <c r="U14" s="1731"/>
      <c r="V14" s="1955"/>
      <c r="W14" s="1693"/>
      <c r="X14" s="1731"/>
      <c r="Y14" s="1955"/>
      <c r="Z14" s="1693"/>
      <c r="AA14" s="1731"/>
      <c r="AB14" s="1955"/>
      <c r="AC14" s="1693"/>
      <c r="AD14" s="1731"/>
      <c r="AE14" s="1955"/>
      <c r="AF14" s="1693"/>
      <c r="AG14" s="1731"/>
      <c r="AH14" s="1955"/>
      <c r="AI14" s="1693"/>
      <c r="AJ14" s="1731"/>
      <c r="AK14" s="1955"/>
      <c r="AL14" s="1693"/>
      <c r="AM14" s="1731"/>
      <c r="AN14" s="1955"/>
      <c r="AO14" s="1693"/>
      <c r="AP14" s="1731"/>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row>
    <row r="15" spans="1:99" s="163" customFormat="1" ht="17.350000000000001" customHeight="1" x14ac:dyDescent="0.2">
      <c r="A15" s="736"/>
      <c r="B15" s="1700" t="s">
        <v>155</v>
      </c>
      <c r="C15" s="1886"/>
      <c r="D15" s="1701" t="s">
        <v>154</v>
      </c>
      <c r="E15" s="1703">
        <f>'G3(b)'!$M$19</f>
        <v>0</v>
      </c>
      <c r="F15" s="2831">
        <f>'G4(b)'!$M$19</f>
        <v>29.424999999999997</v>
      </c>
      <c r="G15" s="1704">
        <f>'GS3(b)'!$M$19</f>
        <v>0</v>
      </c>
      <c r="H15" s="2866">
        <f>'GS4(b)'!$M$19</f>
        <v>29.424999999999997</v>
      </c>
      <c r="I15" s="1706" t="e">
        <f>#REF!</f>
        <v>#REF!</v>
      </c>
      <c r="J15" s="1702" t="e">
        <f>#REF!</f>
        <v>#REF!</v>
      </c>
      <c r="K15" s="1702">
        <f>'H2(b)'!$M$19</f>
        <v>0</v>
      </c>
      <c r="L15" s="1703">
        <f>'H3(b)'!$M$19</f>
        <v>0</v>
      </c>
      <c r="M15" s="2831">
        <f>'HTr.4(b)'!$M$19</f>
        <v>29.424999999999997</v>
      </c>
      <c r="N15" s="1704">
        <f>'Stw.(b)'!$M$19</f>
        <v>0</v>
      </c>
      <c r="O15" s="1706">
        <f>'Umw.(b)'!$M$19</f>
        <v>0</v>
      </c>
      <c r="P15" s="1706">
        <f>'Porw.(b)'!$M$19</f>
        <v>29.424999999999997</v>
      </c>
      <c r="Q15" s="1705">
        <f>'G3(b)'!$M$19</f>
        <v>0</v>
      </c>
      <c r="R15"/>
      <c r="S15" s="1704">
        <f>'KGGrün(b)'!M19</f>
        <v>72.225000000000009</v>
      </c>
      <c r="T15" s="2941">
        <f>'KGGrün(b)'!N19</f>
        <v>72.225000000000009</v>
      </c>
      <c r="U15" s="1705">
        <f>'KGGrün(b)'!O19</f>
        <v>72.225000000000009</v>
      </c>
      <c r="V15" s="1704">
        <f>'KSilo(b)'!M19</f>
        <v>68.212500000000006</v>
      </c>
      <c r="W15" s="2941">
        <f>'KSilo(b)'!N19</f>
        <v>68.212500000000006</v>
      </c>
      <c r="X15" s="1705">
        <f>'KSilo(b)'!O19</f>
        <v>68.212500000000006</v>
      </c>
      <c r="Y15" s="1704">
        <f>'KGCob(b)'!M19</f>
        <v>72.225000000000009</v>
      </c>
      <c r="Z15" s="2941">
        <f>'KGCob(b)'!N19</f>
        <v>72.225000000000009</v>
      </c>
      <c r="AA15" s="1705">
        <f>'KGCob(b)'!O19</f>
        <v>72.225000000000009</v>
      </c>
      <c r="AB15" s="1704">
        <f>'LuzGrün(b)'!M19</f>
        <v>99.509999999999991</v>
      </c>
      <c r="AC15" s="2941">
        <f>'LuzGrün(b)'!N19</f>
        <v>99.509999999999991</v>
      </c>
      <c r="AD15" s="1705">
        <f>'LuzGrün(b)'!O19</f>
        <v>99.509999999999991</v>
      </c>
      <c r="AE15" s="1704">
        <f>'LuzHeuTr(b)'!M19</f>
        <v>99.509999999999991</v>
      </c>
      <c r="AF15" s="2941">
        <f>'LuzHeuTr(b)'!N19</f>
        <v>99.509999999999991</v>
      </c>
      <c r="AG15" s="1705">
        <f>'LuzHeuTr(b)'!O19</f>
        <v>99.509999999999991</v>
      </c>
      <c r="AH15" s="1704">
        <f>'Silomais(b)'!M19</f>
        <v>282.48</v>
      </c>
      <c r="AI15" s="2941">
        <f>'Silomais(b)'!N19</f>
        <v>282.48</v>
      </c>
      <c r="AJ15" s="1705">
        <f>'Silomais(b)'!O19</f>
        <v>282.48</v>
      </c>
      <c r="AK15" s="1704">
        <f>'GPS G-E(b)'!M19</f>
        <v>202.87200000000001</v>
      </c>
      <c r="AL15" s="2941">
        <f>'GPS G-E(b)'!N19</f>
        <v>202.87200000000001</v>
      </c>
      <c r="AM15" s="1705">
        <f>'GPS G-E(b)'!O19</f>
        <v>202.87200000000001</v>
      </c>
      <c r="AN15" s="1704">
        <f>'Zwf(b)'!M19</f>
        <v>205.44000000000003</v>
      </c>
      <c r="AO15" s="2941">
        <f>'Zwf(b)'!N19</f>
        <v>205.44000000000003</v>
      </c>
      <c r="AP15" s="1705">
        <f>'Zwf(b)'!O19</f>
        <v>205.44000000000003</v>
      </c>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row>
    <row r="16" spans="1:99" s="163" customFormat="1" ht="17.350000000000001" customHeight="1" x14ac:dyDescent="0.2">
      <c r="A16" s="736"/>
      <c r="B16" s="1678" t="s">
        <v>1247</v>
      </c>
      <c r="C16" s="1887"/>
      <c r="D16" s="1646" t="s">
        <v>154</v>
      </c>
      <c r="E16" s="981">
        <f>'G3(b)'!$M$20</f>
        <v>693.40770450000002</v>
      </c>
      <c r="F16" s="2826">
        <f>'G4(b)'!$M$20</f>
        <v>1005.576656</v>
      </c>
      <c r="G16" s="982">
        <f>'GS3(b)'!$M$20</f>
        <v>693.40770450000002</v>
      </c>
      <c r="H16" s="2862">
        <f>'GS4(b)'!$M$20</f>
        <v>1005.576656</v>
      </c>
      <c r="I16" s="979" t="e">
        <f>#REF!</f>
        <v>#REF!</v>
      </c>
      <c r="J16" s="983" t="e">
        <f>#REF!</f>
        <v>#REF!</v>
      </c>
      <c r="K16" s="983">
        <f>'H2(b)'!$M$20</f>
        <v>360.51645000000008</v>
      </c>
      <c r="L16" s="981">
        <f>'H3(b)'!$M$20</f>
        <v>648.45729899999981</v>
      </c>
      <c r="M16" s="2826">
        <f>'HTr.4(b)'!$M$20</f>
        <v>977.53273520000016</v>
      </c>
      <c r="N16" s="982">
        <f>'Stw.(b)'!$M$20</f>
        <v>133.875</v>
      </c>
      <c r="O16" s="979">
        <f>'Umw.(b)'!$M$20</f>
        <v>173.50199999999998</v>
      </c>
      <c r="P16" s="979">
        <f>'Porw.(b)'!$M$20</f>
        <v>393.27119999999996</v>
      </c>
      <c r="Q16" s="980">
        <f>'G3(b)'!$M$20</f>
        <v>693.40770450000002</v>
      </c>
      <c r="R16"/>
      <c r="S16" s="982">
        <f>'KGGrün(b)'!M20</f>
        <v>727.19947999999988</v>
      </c>
      <c r="T16" s="2938">
        <f>'KGGrün(b)'!N20</f>
        <v>908.99934999999982</v>
      </c>
      <c r="U16" s="980">
        <f>'KGGrün(b)'!O20</f>
        <v>1090.7992199999999</v>
      </c>
      <c r="V16" s="982">
        <f>'KSilo(b)'!M20</f>
        <v>764.83061199999997</v>
      </c>
      <c r="W16" s="2938">
        <f>'KSilo(b)'!N20</f>
        <v>983.35364399999969</v>
      </c>
      <c r="X16" s="980">
        <f>'KSilo(b)'!O20</f>
        <v>1201.8766760000003</v>
      </c>
      <c r="Y16" s="982">
        <f>'KGCob(b)'!M20</f>
        <v>688.45212800000002</v>
      </c>
      <c r="Z16" s="2938">
        <f>'KGCob(b)'!N20</f>
        <v>860.56515999999988</v>
      </c>
      <c r="AA16" s="980">
        <f>'KGCob(b)'!O20</f>
        <v>1032.6781920000001</v>
      </c>
      <c r="AB16" s="982">
        <f>'LuzGrün(b)'!M20</f>
        <v>327.87436920000005</v>
      </c>
      <c r="AC16" s="2938">
        <f>'LuzGrün(b)'!N20</f>
        <v>437.16582560000006</v>
      </c>
      <c r="AD16" s="980">
        <f>'LuzGrün(b)'!O20</f>
        <v>546.45728199999985</v>
      </c>
      <c r="AE16" s="982">
        <f>'LuzHeuTr(b)'!M20</f>
        <v>275.66940240000002</v>
      </c>
      <c r="AF16" s="2938">
        <f>'LuzHeuTr(b)'!N20</f>
        <v>367.55920320000001</v>
      </c>
      <c r="AG16" s="980">
        <f>'LuzHeuTr(b)'!O20</f>
        <v>459.44900400000006</v>
      </c>
      <c r="AH16" s="982">
        <f>'Silomais(b)'!M20</f>
        <v>791.35</v>
      </c>
      <c r="AI16" s="2938">
        <f>'Silomais(b)'!N20</f>
        <v>949.62000000000012</v>
      </c>
      <c r="AJ16" s="980">
        <f>'Silomais(b)'!O20</f>
        <v>1266.1600000000001</v>
      </c>
      <c r="AK16" s="982">
        <f>'GPS G-E(b)'!M20</f>
        <v>195.31529500000005</v>
      </c>
      <c r="AL16" s="2938">
        <f>'GPS G-E(b)'!N20</f>
        <v>273.44141300000007</v>
      </c>
      <c r="AM16" s="980">
        <f>'GPS G-E(b)'!O20</f>
        <v>351.56753099999997</v>
      </c>
      <c r="AN16" s="982">
        <f>'Zwf(b)'!M20</f>
        <v>225.40313600000005</v>
      </c>
      <c r="AO16" s="2938">
        <f>'Zwf(b)'!N20</f>
        <v>289.80403200000001</v>
      </c>
      <c r="AP16" s="980">
        <f>'Zwf(b)'!O20</f>
        <v>354.204928</v>
      </c>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row>
    <row r="17" spans="1:99" s="163" customFormat="1" ht="17.350000000000001" customHeight="1" x14ac:dyDescent="0.2">
      <c r="A17" s="736"/>
      <c r="B17" s="1677" t="s">
        <v>156</v>
      </c>
      <c r="C17" s="1888"/>
      <c r="D17" s="1646" t="s">
        <v>154</v>
      </c>
      <c r="E17" s="981">
        <f>'G3(b)'!$M$21</f>
        <v>0</v>
      </c>
      <c r="F17" s="2826">
        <f>'G4(b)'!$M$21</f>
        <v>0</v>
      </c>
      <c r="G17" s="982">
        <f>'GS3(b)'!$M$21</f>
        <v>0</v>
      </c>
      <c r="H17" s="2862">
        <f>'GS4(b)'!$M$21</f>
        <v>0</v>
      </c>
      <c r="I17" s="979" t="e">
        <f>#REF!</f>
        <v>#REF!</v>
      </c>
      <c r="J17" s="983" t="e">
        <f>#REF!</f>
        <v>#REF!</v>
      </c>
      <c r="K17" s="983">
        <f>'H2(b)'!$M$21</f>
        <v>0</v>
      </c>
      <c r="L17" s="981">
        <f>'H3(b)'!$M$21</f>
        <v>0</v>
      </c>
      <c r="M17" s="2826">
        <f>'HTr.4(b)'!$M$21</f>
        <v>0</v>
      </c>
      <c r="N17" s="982">
        <f>'Stw.(b)'!$M$21</f>
        <v>0</v>
      </c>
      <c r="O17" s="979">
        <f>'Umw.(b)'!$M$21</f>
        <v>0</v>
      </c>
      <c r="P17" s="979">
        <f>'Porw.(b)'!$M$21</f>
        <v>0</v>
      </c>
      <c r="Q17" s="980">
        <f>'G3(b)'!$M$21</f>
        <v>0</v>
      </c>
      <c r="R17"/>
      <c r="S17" s="982">
        <f>'KGGrün(b)'!M21</f>
        <v>0</v>
      </c>
      <c r="T17" s="2938">
        <f>'KGGrün(b)'!N21</f>
        <v>0</v>
      </c>
      <c r="U17" s="980">
        <f>'KGGrün(b)'!O21</f>
        <v>0</v>
      </c>
      <c r="V17" s="982">
        <f>'KSilo(b)'!M21</f>
        <v>0</v>
      </c>
      <c r="W17" s="2938">
        <f>'KSilo(b)'!N21</f>
        <v>0</v>
      </c>
      <c r="X17" s="980">
        <f>'KSilo(b)'!O21</f>
        <v>0</v>
      </c>
      <c r="Y17" s="982">
        <f>'KGCob(b)'!M21</f>
        <v>0</v>
      </c>
      <c r="Z17" s="2938">
        <f>'KGCob(b)'!N21</f>
        <v>0</v>
      </c>
      <c r="AA17" s="980">
        <f>'KGCob(b)'!O21</f>
        <v>0</v>
      </c>
      <c r="AB17" s="982">
        <f>'LuzGrün(b)'!M21</f>
        <v>0</v>
      </c>
      <c r="AC17" s="2938">
        <f>'LuzGrün(b)'!N21</f>
        <v>0</v>
      </c>
      <c r="AD17" s="980">
        <f>'LuzGrün(b)'!O21</f>
        <v>0</v>
      </c>
      <c r="AE17" s="982">
        <f>'LuzHeuTr(b)'!M21</f>
        <v>0</v>
      </c>
      <c r="AF17" s="2938">
        <f>'LuzHeuTr(b)'!N21</f>
        <v>0</v>
      </c>
      <c r="AG17" s="980">
        <f>'LuzHeuTr(b)'!O21</f>
        <v>0</v>
      </c>
      <c r="AH17" s="982">
        <f>'Silomais(b)'!M21</f>
        <v>0</v>
      </c>
      <c r="AI17" s="2938">
        <f>'Silomais(b)'!N21</f>
        <v>0</v>
      </c>
      <c r="AJ17" s="980">
        <f>'Silomais(b)'!O21</f>
        <v>0</v>
      </c>
      <c r="AK17" s="982">
        <f>'GPS G-E(b)'!M21</f>
        <v>0</v>
      </c>
      <c r="AL17" s="2938">
        <f>'GPS G-E(b)'!N21</f>
        <v>0</v>
      </c>
      <c r="AM17" s="980">
        <f>'GPS G-E(b)'!O21</f>
        <v>0</v>
      </c>
      <c r="AN17" s="982">
        <f>'Zwf(b)'!M21</f>
        <v>0</v>
      </c>
      <c r="AO17" s="2938">
        <f>'Zwf(b)'!N21</f>
        <v>0</v>
      </c>
      <c r="AP17" s="980">
        <f>'Zwf(b)'!O21</f>
        <v>0</v>
      </c>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row>
    <row r="18" spans="1:99" s="163" customFormat="1" ht="17.350000000000001" customHeight="1" x14ac:dyDescent="0.2">
      <c r="A18" s="736"/>
      <c r="B18" s="1677" t="s">
        <v>1142</v>
      </c>
      <c r="C18" s="1888"/>
      <c r="D18" s="1646" t="s">
        <v>154</v>
      </c>
      <c r="E18" s="981">
        <f>'G3(b)'!$M$24</f>
        <v>177.94313136057602</v>
      </c>
      <c r="F18" s="2826">
        <f>'G4(b)'!$M$24</f>
        <v>243.14827557200005</v>
      </c>
      <c r="G18" s="982">
        <f>'GS3(b)'!$M$24</f>
        <v>126.643810873776</v>
      </c>
      <c r="H18" s="2862">
        <f>'GS4(b)'!$M$24</f>
        <v>160.07038215680001</v>
      </c>
      <c r="I18" s="979" t="e">
        <f>#REF!</f>
        <v>#REF!</v>
      </c>
      <c r="J18" s="983" t="e">
        <f>#REF!</f>
        <v>#REF!</v>
      </c>
      <c r="K18" s="983">
        <f>'H2(b)'!$M$24</f>
        <v>115.84719005556994</v>
      </c>
      <c r="L18" s="981">
        <f>'H3(b)'!$M$24</f>
        <v>164.89125178809695</v>
      </c>
      <c r="M18" s="2826">
        <f>'HTr.4(b)'!$M$24</f>
        <v>191.29688856889803</v>
      </c>
      <c r="N18" s="982">
        <f>'Stw.(b)'!$M$24</f>
        <v>19.444173280000001</v>
      </c>
      <c r="O18" s="979">
        <f>'Umw.(b)'!$M$24</f>
        <v>27.326666860416005</v>
      </c>
      <c r="P18" s="979">
        <f>'Porw.(b)'!$M$24</f>
        <v>37.978594302399998</v>
      </c>
      <c r="Q18" s="980">
        <f>'G3(b)'!$M$24</f>
        <v>177.94313136057602</v>
      </c>
      <c r="R18"/>
      <c r="S18" s="982">
        <f>'KGGrün(b)'!M24</f>
        <v>233.17068599240002</v>
      </c>
      <c r="T18" s="2938">
        <f>'KGGrün(b)'!N24</f>
        <v>292.2795950844</v>
      </c>
      <c r="U18" s="980">
        <f>'KGGrün(b)'!O24</f>
        <v>351.38850417639998</v>
      </c>
      <c r="V18" s="982">
        <f>'KSilo(b)'!M24</f>
        <v>192.76592584369047</v>
      </c>
      <c r="W18" s="2938">
        <f>'KSilo(b)'!N24</f>
        <v>236.12756851663059</v>
      </c>
      <c r="X18" s="980">
        <f>'KSilo(b)'!O24</f>
        <v>279.48921118957077</v>
      </c>
      <c r="Y18" s="982">
        <f>'KGCob(b)'!M24</f>
        <v>144.90665208440001</v>
      </c>
      <c r="Z18" s="2938">
        <f>'KGCob(b)'!N24</f>
        <v>174.5942165404</v>
      </c>
      <c r="AA18" s="980">
        <f>'KGCob(b)'!O24</f>
        <v>204.28178099640002</v>
      </c>
      <c r="AB18" s="982">
        <f>'LuzGrün(b)'!M24</f>
        <v>233.17068599240002</v>
      </c>
      <c r="AC18" s="2938">
        <f>'LuzGrün(b)'!N24</f>
        <v>292.2795950844</v>
      </c>
      <c r="AD18" s="980">
        <f>'LuzGrün(b)'!O24</f>
        <v>351.38850417639998</v>
      </c>
      <c r="AE18" s="982">
        <f>'LuzHeuTr(b)'!M24</f>
        <v>144.90665208440001</v>
      </c>
      <c r="AF18" s="2938">
        <f>'LuzHeuTr(b)'!N24</f>
        <v>174.5942165404</v>
      </c>
      <c r="AG18" s="980">
        <f>'LuzHeuTr(b)'!O24</f>
        <v>204.28178099640002</v>
      </c>
      <c r="AH18" s="982">
        <f>'Silomais(b)'!M24</f>
        <v>206.73416028075147</v>
      </c>
      <c r="AI18" s="2938">
        <f>'Silomais(b)'!N24</f>
        <v>217.1983385757818</v>
      </c>
      <c r="AJ18" s="980">
        <f>'Silomais(b)'!O24</f>
        <v>238.12669516584239</v>
      </c>
      <c r="AK18" s="982">
        <f>'GPS G-E(b)'!M24</f>
        <v>132.73878383574998</v>
      </c>
      <c r="AL18" s="2938">
        <f>'GPS G-E(b)'!N24</f>
        <v>144.45492631964999</v>
      </c>
      <c r="AM18" s="980">
        <f>'GPS G-E(b)'!O24</f>
        <v>156.17106880354999</v>
      </c>
      <c r="AN18" s="982">
        <f>'Zwf(b)'!M24</f>
        <v>146.55626653790222</v>
      </c>
      <c r="AO18" s="2938">
        <f>'Zwf(b)'!N24</f>
        <v>149.30260742016</v>
      </c>
      <c r="AP18" s="980">
        <f>'Zwf(b)'!O24</f>
        <v>152.04894830241778</v>
      </c>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row>
    <row r="19" spans="1:99" s="163" customFormat="1" ht="17.350000000000001" customHeight="1" x14ac:dyDescent="0.2">
      <c r="A19" s="736"/>
      <c r="B19" s="1677" t="s">
        <v>536</v>
      </c>
      <c r="C19" s="1888"/>
      <c r="D19" s="1646" t="s">
        <v>154</v>
      </c>
      <c r="E19" s="981">
        <f>'G3(b)'!$M$25</f>
        <v>0</v>
      </c>
      <c r="F19" s="2826">
        <f>'G4(b)'!$M$25</f>
        <v>15.469999999999999</v>
      </c>
      <c r="G19" s="982">
        <f>'GS3(b)'!$M$25</f>
        <v>114.24</v>
      </c>
      <c r="H19" s="2862">
        <f>'GS4(b)'!$M$25</f>
        <v>153.51</v>
      </c>
      <c r="I19" s="979" t="e">
        <f>#REF!</f>
        <v>#REF!</v>
      </c>
      <c r="J19" s="983" t="e">
        <f>#REF!</f>
        <v>#REF!</v>
      </c>
      <c r="K19" s="983">
        <f>'H2(b)'!$M$25</f>
        <v>135.22727272727272</v>
      </c>
      <c r="L19" s="981">
        <f>'H3(b)'!$M$25</f>
        <v>175.7954545454545</v>
      </c>
      <c r="M19" s="2826">
        <f>'HTr.4(b)'!$M$25</f>
        <v>238.44474747474746</v>
      </c>
      <c r="N19" s="982">
        <f>'Stw.(b)'!$M$25</f>
        <v>0</v>
      </c>
      <c r="O19" s="979">
        <f>'Umw.(b)'!$M$25</f>
        <v>0</v>
      </c>
      <c r="P19" s="979">
        <f>'Porw.(b)'!$M$25</f>
        <v>15.469999999999999</v>
      </c>
      <c r="Q19" s="980">
        <f>'G3(b)'!$M$25</f>
        <v>0</v>
      </c>
      <c r="R19"/>
      <c r="S19" s="982">
        <f>'KGGrün(b)'!M25</f>
        <v>0</v>
      </c>
      <c r="T19" s="2938">
        <f>'KGGrün(b)'!N25</f>
        <v>0</v>
      </c>
      <c r="U19" s="980">
        <f>'KGGrün(b)'!O25</f>
        <v>0</v>
      </c>
      <c r="V19" s="982">
        <f>'KSilo(b)'!M25</f>
        <v>142.80000000000001</v>
      </c>
      <c r="W19" s="2938">
        <f>'KSilo(b)'!N25</f>
        <v>190.4</v>
      </c>
      <c r="X19" s="980">
        <f>'KSilo(b)'!O25</f>
        <v>238</v>
      </c>
      <c r="Y19" s="982">
        <f>'KGCob(b)'!M25</f>
        <v>1750.4533333333334</v>
      </c>
      <c r="Z19" s="2938">
        <f>'KGCob(b)'!N25</f>
        <v>2188.0666666666666</v>
      </c>
      <c r="AA19" s="980">
        <f>'KGCob(b)'!O25</f>
        <v>2625.6800000000003</v>
      </c>
      <c r="AB19" s="982">
        <f>'LuzGrün(b)'!M25</f>
        <v>0</v>
      </c>
      <c r="AC19" s="2938">
        <f>'LuzGrün(b)'!N25</f>
        <v>0</v>
      </c>
      <c r="AD19" s="980">
        <f>'LuzGrün(b)'!O25</f>
        <v>0</v>
      </c>
      <c r="AE19" s="982">
        <f>'LuzHeuTr(b)'!M25</f>
        <v>174.14634146341461</v>
      </c>
      <c r="AF19" s="2938">
        <f>'LuzHeuTr(b)'!N25</f>
        <v>232.19512195121953</v>
      </c>
      <c r="AG19" s="980">
        <f>'LuzHeuTr(b)'!O25</f>
        <v>290.24390243902434</v>
      </c>
      <c r="AH19" s="982">
        <f>'Silomais(b)'!M25</f>
        <v>258.82500000000005</v>
      </c>
      <c r="AI19" s="2938">
        <f>'Silomais(b)'!N25</f>
        <v>279.64999999999998</v>
      </c>
      <c r="AJ19" s="980">
        <f>'Silomais(b)'!O25</f>
        <v>300.47500000000002</v>
      </c>
      <c r="AK19" s="982">
        <f>'GPS G-E(b)'!M25</f>
        <v>166.005</v>
      </c>
      <c r="AL19" s="2938">
        <f>'GPS G-E(b)'!N25</f>
        <v>184.45</v>
      </c>
      <c r="AM19" s="980">
        <f>'GPS G-E(b)'!O25</f>
        <v>202.89500000000001</v>
      </c>
      <c r="AN19" s="982">
        <f>'Zwf(b)'!M25</f>
        <v>42.84</v>
      </c>
      <c r="AO19" s="2938">
        <f>'Zwf(b)'!N25</f>
        <v>47.6</v>
      </c>
      <c r="AP19" s="980">
        <f>'Zwf(b)'!O25</f>
        <v>52.360000000000007</v>
      </c>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row>
    <row r="20" spans="1:99" s="163" customFormat="1" ht="17.350000000000001" customHeight="1" x14ac:dyDescent="0.2">
      <c r="A20" s="736"/>
      <c r="B20" s="1677" t="s">
        <v>1143</v>
      </c>
      <c r="C20" s="1888"/>
      <c r="D20" s="1646" t="s">
        <v>154</v>
      </c>
      <c r="E20" s="981">
        <f>'G3(b)'!M23+'G3(b)'!M22</f>
        <v>0</v>
      </c>
      <c r="F20" s="2826">
        <f>'G4(b)'!M23+'G4(b)'!M22</f>
        <v>0</v>
      </c>
      <c r="G20" s="982">
        <f>'GS3(b)'!M23+'GS3(b)'!M22</f>
        <v>33.32</v>
      </c>
      <c r="H20" s="2862">
        <f>'GS4(b)'!M23+'GS4(b)'!M22</f>
        <v>33.32</v>
      </c>
      <c r="I20" s="979" t="e">
        <f>#REF!+#REF!</f>
        <v>#REF!</v>
      </c>
      <c r="J20" s="983" t="e">
        <f>#REF!+#REF!</f>
        <v>#REF!</v>
      </c>
      <c r="K20" s="983">
        <f>'H2(b)'!M23+'H2(b)'!M22</f>
        <v>0</v>
      </c>
      <c r="L20" s="981">
        <f>'H3(b)'!M23+'H3(b)'!M22</f>
        <v>0</v>
      </c>
      <c r="M20" s="2826">
        <f>'HTr.4(b)'!M23+'HTr.4(b)'!M22</f>
        <v>220.44750000000005</v>
      </c>
      <c r="N20" s="982">
        <f>'Stw.(b)'!M23+'Stw.(b)'!M22</f>
        <v>83</v>
      </c>
      <c r="O20" s="979">
        <f>'Umw.(b)'!M23+'Umw.(b)'!M22</f>
        <v>83</v>
      </c>
      <c r="P20" s="979">
        <f>'Porw.(b)'!M23+'Porw.(b)'!M22</f>
        <v>83</v>
      </c>
      <c r="Q20" s="980">
        <f>'G3(b)'!X23+'G3(b)'!X22</f>
        <v>0</v>
      </c>
      <c r="R20"/>
      <c r="S20" s="982">
        <f>'KGGrün(b)'!M23+'KGGrün(b)'!M22</f>
        <v>0</v>
      </c>
      <c r="T20" s="2938">
        <f>'KGGrün(b)'!N23+'KGGrün(b)'!N22</f>
        <v>0</v>
      </c>
      <c r="U20" s="980">
        <f>'KGGrün(b)'!O23+'KGGrün(b)'!O22</f>
        <v>0</v>
      </c>
      <c r="V20" s="982">
        <f>'KSilo(b)'!M23+'KSilo(b)'!M22</f>
        <v>36</v>
      </c>
      <c r="W20" s="2938">
        <f>'KSilo(b)'!N23+'KSilo(b)'!N22</f>
        <v>36</v>
      </c>
      <c r="X20" s="980">
        <f>'KSilo(b)'!O23+'KSilo(b)'!O22</f>
        <v>36</v>
      </c>
      <c r="Y20" s="982">
        <f>'KGCob(b)'!M23+'KGCob(b)'!M22</f>
        <v>0</v>
      </c>
      <c r="Z20" s="2938">
        <f>'KGCob(b)'!N23+'KGCob(b)'!N22</f>
        <v>0</v>
      </c>
      <c r="AA20" s="980">
        <f>'KGCob(b)'!O23+'KGCob(b)'!O22</f>
        <v>0</v>
      </c>
      <c r="AB20" s="982">
        <f>'LuzGrün(b)'!M23+'LuzGrün(b)'!M22</f>
        <v>0</v>
      </c>
      <c r="AC20" s="2938">
        <f>'LuzGrün(b)'!N23+'LuzGrün(b)'!N22</f>
        <v>0</v>
      </c>
      <c r="AD20" s="980">
        <f>'LuzGrün(b)'!O23+'LuzGrün(b)'!O22</f>
        <v>0</v>
      </c>
      <c r="AE20" s="982">
        <f>'LuzHeuTr(b)'!M23+'LuzHeuTr(b)'!M22</f>
        <v>250.614</v>
      </c>
      <c r="AF20" s="2938">
        <f>'LuzHeuTr(b)'!N23+'LuzHeuTr(b)'!N22</f>
        <v>334.15199999999999</v>
      </c>
      <c r="AG20" s="980">
        <f>'LuzHeuTr(b)'!O23+'LuzHeuTr(b)'!O22</f>
        <v>417.69</v>
      </c>
      <c r="AH20" s="982">
        <f>'Silomais(b)'!M23+'Silomais(b)'!M22</f>
        <v>71.9636</v>
      </c>
      <c r="AI20" s="2938">
        <f>'Silomais(b)'!N23+'Silomais(b)'!N22</f>
        <v>76.512200000000007</v>
      </c>
      <c r="AJ20" s="980">
        <f>'Silomais(b)'!O23+'Silomais(b)'!O22</f>
        <v>85.479440000000011</v>
      </c>
      <c r="AK20" s="982">
        <f>'GPS G-E(b)'!M23+'GPS G-E(b)'!M22</f>
        <v>59.357480000000002</v>
      </c>
      <c r="AL20" s="2938">
        <f>'GPS G-E(b)'!N23+'GPS G-E(b)'!N22</f>
        <v>62.632472</v>
      </c>
      <c r="AM20" s="980">
        <f>'GPS G-E(b)'!O23+'GPS G-E(b)'!O22</f>
        <v>65.907464000000004</v>
      </c>
      <c r="AN20" s="982">
        <f>'Zwf(b)'!M23+'Zwf(b)'!M22</f>
        <v>20</v>
      </c>
      <c r="AO20" s="2938">
        <f>'Zwf(b)'!N23+'Zwf(b)'!N22</f>
        <v>20</v>
      </c>
      <c r="AP20" s="980">
        <f>'Zwf(b)'!O23+'Zwf(b)'!O22</f>
        <v>20</v>
      </c>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row>
    <row r="21" spans="1:99" s="163" customFormat="1" ht="17.350000000000001" customHeight="1" x14ac:dyDescent="0.2">
      <c r="A21" s="736"/>
      <c r="B21" s="1679" t="s">
        <v>157</v>
      </c>
      <c r="C21" s="1889"/>
      <c r="D21" s="1647" t="s">
        <v>154</v>
      </c>
      <c r="E21" s="1638">
        <f>'G3(b)'!$M$26</f>
        <v>0</v>
      </c>
      <c r="F21" s="2832">
        <f>'G4(b)'!$M$26</f>
        <v>0</v>
      </c>
      <c r="G21" s="1639">
        <f>'GS3(b)'!$M$26</f>
        <v>0</v>
      </c>
      <c r="H21" s="2867">
        <f>'GS4(b)'!$M$26</f>
        <v>0</v>
      </c>
      <c r="I21" s="1641" t="e">
        <f>#REF!</f>
        <v>#REF!</v>
      </c>
      <c r="J21" s="1637" t="e">
        <f>#REF!</f>
        <v>#REF!</v>
      </c>
      <c r="K21" s="1637">
        <f>'H2(b)'!$M$26</f>
        <v>0</v>
      </c>
      <c r="L21" s="1638">
        <f>'H3(b)'!$M$26</f>
        <v>0</v>
      </c>
      <c r="M21" s="2832">
        <f>'HTr.4(b)'!$M$26</f>
        <v>0</v>
      </c>
      <c r="N21" s="1639">
        <f>'Stw.(b)'!$M$26</f>
        <v>0</v>
      </c>
      <c r="O21" s="1641">
        <f>'Umw.(b)'!$M$26</f>
        <v>0</v>
      </c>
      <c r="P21" s="1641">
        <f>'Porw.(b)'!$M$26</f>
        <v>0</v>
      </c>
      <c r="Q21" s="1640">
        <f>'G3(b)'!$M$26</f>
        <v>0</v>
      </c>
      <c r="R21"/>
      <c r="S21" s="1639">
        <f>'KGGrün(b)'!M26</f>
        <v>0</v>
      </c>
      <c r="T21" s="2942">
        <f>'KGGrün(b)'!N26</f>
        <v>0</v>
      </c>
      <c r="U21" s="1640">
        <f>'KGGrün(b)'!O26</f>
        <v>0</v>
      </c>
      <c r="V21" s="1639">
        <f>'KSilo(b)'!M26</f>
        <v>0</v>
      </c>
      <c r="W21" s="2942">
        <f>'KSilo(b)'!N26</f>
        <v>0</v>
      </c>
      <c r="X21" s="1640">
        <f>'KSilo(b)'!O26</f>
        <v>0</v>
      </c>
      <c r="Y21" s="1639">
        <f>'KGCob(b)'!M26</f>
        <v>0</v>
      </c>
      <c r="Z21" s="2942">
        <f>'KGCob(b)'!N26</f>
        <v>0</v>
      </c>
      <c r="AA21" s="1640">
        <f>'KGCob(b)'!O26</f>
        <v>0</v>
      </c>
      <c r="AB21" s="1639">
        <f>'LuzGrün(b)'!M26</f>
        <v>0</v>
      </c>
      <c r="AC21" s="2942">
        <f>'LuzGrün(b)'!N26</f>
        <v>0</v>
      </c>
      <c r="AD21" s="1640">
        <f>'LuzGrün(b)'!O26</f>
        <v>0</v>
      </c>
      <c r="AE21" s="1639">
        <f>'LuzHeuTr(b)'!M26</f>
        <v>0</v>
      </c>
      <c r="AF21" s="2942">
        <f>'LuzHeuTr(b)'!N26</f>
        <v>0</v>
      </c>
      <c r="AG21" s="1640">
        <f>'LuzHeuTr(b)'!O26</f>
        <v>0</v>
      </c>
      <c r="AH21" s="1639">
        <f>'Silomais(b)'!M26</f>
        <v>0</v>
      </c>
      <c r="AI21" s="2942">
        <f>'Silomais(b)'!N26</f>
        <v>0</v>
      </c>
      <c r="AJ21" s="1640">
        <f>'Silomais(b)'!O26</f>
        <v>0</v>
      </c>
      <c r="AK21" s="1639">
        <f>'GPS G-E(b)'!M26</f>
        <v>0</v>
      </c>
      <c r="AL21" s="2942">
        <f>'GPS G-E(b)'!N26</f>
        <v>0</v>
      </c>
      <c r="AM21" s="1640">
        <f>'GPS G-E(b)'!O26</f>
        <v>0</v>
      </c>
      <c r="AN21" s="1639">
        <f>'Zwf(b)'!M26</f>
        <v>0</v>
      </c>
      <c r="AO21" s="2942">
        <f>'Zwf(b)'!N26</f>
        <v>0</v>
      </c>
      <c r="AP21" s="1640">
        <f>'Zwf(b)'!O26</f>
        <v>0</v>
      </c>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row>
    <row r="22" spans="1:99" s="163" customFormat="1" ht="17.350000000000001" customHeight="1" x14ac:dyDescent="0.2">
      <c r="A22" s="219"/>
      <c r="B22" s="1680" t="s">
        <v>529</v>
      </c>
      <c r="C22" s="1890"/>
      <c r="D22" s="1648" t="s">
        <v>154</v>
      </c>
      <c r="E22" s="994">
        <f>'G3(b)'!$M$27</f>
        <v>871.35083586057601</v>
      </c>
      <c r="F22" s="2822">
        <f>'G4(b)'!$M$27</f>
        <v>1293.619931572</v>
      </c>
      <c r="G22" s="995">
        <f>'GS3(b)'!$M$27</f>
        <v>967.61151537377611</v>
      </c>
      <c r="H22" s="2868">
        <f>'GS4(b)'!$M$27</f>
        <v>1381.9020381567998</v>
      </c>
      <c r="I22" s="992" t="e">
        <f>#REF!</f>
        <v>#REF!</v>
      </c>
      <c r="J22" s="996" t="e">
        <f>#REF!</f>
        <v>#REF!</v>
      </c>
      <c r="K22" s="996">
        <f>'H2(b)'!$M$27</f>
        <v>611.59091278284279</v>
      </c>
      <c r="L22" s="994">
        <f>'H3(b)'!$M$27</f>
        <v>989.14400533355126</v>
      </c>
      <c r="M22" s="2822">
        <f>'HTr.4(b)'!$M$27</f>
        <v>1657.1468712436456</v>
      </c>
      <c r="N22" s="995">
        <f>'Stw.(b)'!$M$27</f>
        <v>236.31917328</v>
      </c>
      <c r="O22" s="992">
        <f>'Umw.(b)'!$M$27</f>
        <v>283.82866686041598</v>
      </c>
      <c r="P22" s="992">
        <f>'Porw.(b)'!$M$27</f>
        <v>559.14479430239999</v>
      </c>
      <c r="Q22" s="993">
        <f>'G3(b)'!$M$27</f>
        <v>871.35083586057601</v>
      </c>
      <c r="R22"/>
      <c r="S22" s="995">
        <f>'KGGrün(b)'!M27</f>
        <v>1032.5951659923999</v>
      </c>
      <c r="T22" s="2943">
        <f>'KGGrün(b)'!N27</f>
        <v>1273.5039450843999</v>
      </c>
      <c r="U22" s="993">
        <f>'KGGrün(b)'!O27</f>
        <v>1514.4127241763997</v>
      </c>
      <c r="V22" s="995">
        <f>'KSilo(b)'!M27</f>
        <v>1204.6090378436904</v>
      </c>
      <c r="W22" s="2943">
        <f>'KSilo(b)'!N27</f>
        <v>1514.0937125166304</v>
      </c>
      <c r="X22" s="993">
        <f>'KSilo(b)'!O27</f>
        <v>1823.5783871895712</v>
      </c>
      <c r="Y22" s="995">
        <f>'KGCob(b)'!M27</f>
        <v>2656.0371134177335</v>
      </c>
      <c r="Z22" s="2943">
        <f>'KGCob(b)'!N27</f>
        <v>3295.4510432070665</v>
      </c>
      <c r="AA22" s="993">
        <f>'KGCob(b)'!O27</f>
        <v>3934.8649729964004</v>
      </c>
      <c r="AB22" s="995">
        <f>'LuzGrün(b)'!M27</f>
        <v>660.5550551924</v>
      </c>
      <c r="AC22" s="2943">
        <f>'LuzGrün(b)'!N27</f>
        <v>828.9554206844</v>
      </c>
      <c r="AD22" s="993">
        <f>'LuzGrün(b)'!O27</f>
        <v>997.35578617639976</v>
      </c>
      <c r="AE22" s="995">
        <f>'LuzHeuTr(b)'!M27</f>
        <v>944.84639594781459</v>
      </c>
      <c r="AF22" s="2943">
        <f>'LuzHeuTr(b)'!N27</f>
        <v>1208.0105416916194</v>
      </c>
      <c r="AG22" s="993">
        <f>'LuzHeuTr(b)'!O27</f>
        <v>1471.1746874354246</v>
      </c>
      <c r="AH22" s="995">
        <f>'Silomais(b)'!M27</f>
        <v>1611.3527602807515</v>
      </c>
      <c r="AI22" s="2943">
        <f>'Silomais(b)'!N27</f>
        <v>1805.4605385757823</v>
      </c>
      <c r="AJ22" s="993">
        <f>'Silomais(b)'!O27</f>
        <v>2172.7211351658425</v>
      </c>
      <c r="AK22" s="995">
        <f>'GPS G-E(b)'!M27</f>
        <v>756.28855883575</v>
      </c>
      <c r="AL22" s="2943">
        <f>'GPS G-E(b)'!N27</f>
        <v>867.85081131965012</v>
      </c>
      <c r="AM22" s="993">
        <f>'GPS G-E(b)'!O27</f>
        <v>979.4130638035499</v>
      </c>
      <c r="AN22" s="995">
        <f>'Zwf(b)'!M27</f>
        <v>640.23940253790227</v>
      </c>
      <c r="AO22" s="2943">
        <f>'Zwf(b)'!N27</f>
        <v>712.14663942016011</v>
      </c>
      <c r="AP22" s="993">
        <f>'Zwf(b)'!O27</f>
        <v>784.05387630241785</v>
      </c>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row>
    <row r="23" spans="1:99" s="163" customFormat="1" ht="21.25" customHeight="1" x14ac:dyDescent="0.2">
      <c r="A23" s="1633"/>
      <c r="B23" s="2176" t="s">
        <v>599</v>
      </c>
      <c r="C23" s="1891"/>
      <c r="D23" s="1649" t="s">
        <v>154</v>
      </c>
      <c r="E23" s="1635">
        <f>'G3(b)'!$M$28</f>
        <v>-871.35083586057601</v>
      </c>
      <c r="F23" s="2833">
        <f>'G4(b)'!$M$28</f>
        <v>-1293.619931572</v>
      </c>
      <c r="G23" s="1636">
        <f>'GS3(b)'!$M$28</f>
        <v>-967.61151537377611</v>
      </c>
      <c r="H23" s="2869">
        <f>'GS4(b)'!$M$28</f>
        <v>-1381.9020381567998</v>
      </c>
      <c r="I23" s="1727" t="e">
        <f>#REF!</f>
        <v>#REF!</v>
      </c>
      <c r="J23" s="1634" t="e">
        <f>#REF!</f>
        <v>#REF!</v>
      </c>
      <c r="K23" s="1634">
        <f>'H2(b)'!$M$28</f>
        <v>-611.59091278284279</v>
      </c>
      <c r="L23" s="1635">
        <f>'H3(b)'!$M$28</f>
        <v>-989.14400533355126</v>
      </c>
      <c r="M23" s="2833">
        <f>'HTr.4(b)'!$M$28</f>
        <v>-1657.1468712436456</v>
      </c>
      <c r="N23" s="1636">
        <f>'Stw.(b)'!$M$28</f>
        <v>-236.31917328</v>
      </c>
      <c r="O23" s="1727">
        <f>'Umw.(b)'!$M$28</f>
        <v>-283.82866686041598</v>
      </c>
      <c r="P23" s="1727">
        <f>'Porw.(b)'!$M$28</f>
        <v>-559.14479430239999</v>
      </c>
      <c r="Q23" s="1730">
        <f>'G3(b)'!$M$28</f>
        <v>-871.35083586057601</v>
      </c>
      <c r="R23"/>
      <c r="S23" s="995">
        <f>'KGGrün(b)'!M28</f>
        <v>-1032.5951659923999</v>
      </c>
      <c r="T23" s="2943">
        <f>'KGGrün(b)'!N28</f>
        <v>-1273.5039450843999</v>
      </c>
      <c r="U23" s="993">
        <f>'KGGrün(b)'!O28</f>
        <v>-1514.4127241763997</v>
      </c>
      <c r="V23" s="995">
        <f>'KSilo(b)'!M28</f>
        <v>-1204.6090378436904</v>
      </c>
      <c r="W23" s="2943">
        <f>'KSilo(b)'!N28</f>
        <v>-1514.0937125166304</v>
      </c>
      <c r="X23" s="993">
        <f>'KSilo(b)'!O28</f>
        <v>-1823.5783871895712</v>
      </c>
      <c r="Y23" s="995">
        <f>'KGCob(b)'!M28</f>
        <v>-2656.0371134177335</v>
      </c>
      <c r="Z23" s="2943">
        <f>'KGCob(b)'!N28</f>
        <v>-3295.4510432070665</v>
      </c>
      <c r="AA23" s="993">
        <f>'KGCob(b)'!O28</f>
        <v>-3934.8649729964004</v>
      </c>
      <c r="AB23" s="995">
        <f>'LuzGrün(b)'!M28</f>
        <v>-660.5550551924</v>
      </c>
      <c r="AC23" s="2943">
        <f>'LuzGrün(b)'!N28</f>
        <v>-828.9554206844</v>
      </c>
      <c r="AD23" s="993">
        <f>'LuzGrün(b)'!O28</f>
        <v>-997.35578617639976</v>
      </c>
      <c r="AE23" s="995">
        <f>'LuzHeuTr(b)'!M28</f>
        <v>-944.84639594781459</v>
      </c>
      <c r="AF23" s="2943">
        <f>'LuzHeuTr(b)'!N28</f>
        <v>-1208.0105416916194</v>
      </c>
      <c r="AG23" s="993">
        <f>'LuzHeuTr(b)'!O28</f>
        <v>-1471.1746874354246</v>
      </c>
      <c r="AH23" s="995">
        <f>'Silomais(b)'!M28</f>
        <v>-1611.3527602807515</v>
      </c>
      <c r="AI23" s="2943">
        <f>'Silomais(b)'!N28</f>
        <v>-1805.4605385757823</v>
      </c>
      <c r="AJ23" s="993">
        <f>'Silomais(b)'!O28</f>
        <v>-2172.7211351658425</v>
      </c>
      <c r="AK23" s="995">
        <f>'GPS G-E(b)'!M28</f>
        <v>-756.28855883575</v>
      </c>
      <c r="AL23" s="2943">
        <f>'GPS G-E(b)'!N28</f>
        <v>-867.85081131965012</v>
      </c>
      <c r="AM23" s="993">
        <f>'GPS G-E(b)'!O28</f>
        <v>-979.4130638035499</v>
      </c>
      <c r="AN23" s="995">
        <f>'Zwf(b)'!M28</f>
        <v>-640.23940253790227</v>
      </c>
      <c r="AO23" s="2943">
        <f>'Zwf(b)'!N28</f>
        <v>-712.14663942016011</v>
      </c>
      <c r="AP23" s="993">
        <f>'Zwf(b)'!O28</f>
        <v>-784.05387630241785</v>
      </c>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row>
    <row r="24" spans="1:99" s="163" customFormat="1" ht="17.350000000000001" customHeight="1" x14ac:dyDescent="0.2">
      <c r="A24" s="219"/>
      <c r="B24" s="1681" t="s">
        <v>600</v>
      </c>
      <c r="C24" s="1892"/>
      <c r="D24" s="1648" t="s">
        <v>154</v>
      </c>
      <c r="E24" s="2822">
        <f>'G3(b)'!M30</f>
        <v>560</v>
      </c>
      <c r="F24" s="2822">
        <f>'G4(b)'!M30</f>
        <v>540</v>
      </c>
      <c r="G24" s="995">
        <f>'GS3(b)'!M30</f>
        <v>560</v>
      </c>
      <c r="H24" s="2868">
        <f>'GS4(b)'!M30</f>
        <v>540</v>
      </c>
      <c r="I24" s="990" t="e">
        <f>#REF!</f>
        <v>#REF!</v>
      </c>
      <c r="J24" s="1720" t="e">
        <f>#REF!</f>
        <v>#REF!</v>
      </c>
      <c r="K24" s="996">
        <f>'H2(b)'!M30</f>
        <v>580</v>
      </c>
      <c r="L24" s="996">
        <f>'H3(b)'!M30</f>
        <v>560</v>
      </c>
      <c r="M24" s="2822">
        <f>'HTr.4(b)'!M30</f>
        <v>540</v>
      </c>
      <c r="N24" s="989">
        <f>'Stw.(b)'!M30</f>
        <v>580</v>
      </c>
      <c r="O24" s="992">
        <f>'Umw.(b)'!M30</f>
        <v>560</v>
      </c>
      <c r="P24" s="992">
        <f>'Porw.(b)'!M30</f>
        <v>560</v>
      </c>
      <c r="Q24" s="1724">
        <f>'G3(b)'!X30</f>
        <v>58</v>
      </c>
      <c r="R24"/>
      <c r="S24" s="989">
        <f>'KGGrün(b)'!M30</f>
        <v>500</v>
      </c>
      <c r="T24" s="2944">
        <f>'KGGrün(b)'!N30</f>
        <v>500</v>
      </c>
      <c r="U24" s="991">
        <f>'KGGrün(b)'!O30</f>
        <v>500</v>
      </c>
      <c r="V24" s="989">
        <f>'KSilo(b)'!M30</f>
        <v>500</v>
      </c>
      <c r="W24" s="2944">
        <f>'KSilo(b)'!N30</f>
        <v>500</v>
      </c>
      <c r="X24" s="991">
        <f>'KSilo(b)'!O30</f>
        <v>500</v>
      </c>
      <c r="Y24" s="989">
        <f>'KGCob(b)'!M30</f>
        <v>500</v>
      </c>
      <c r="Z24" s="2944">
        <f>'KGCob(b)'!N30</f>
        <v>500</v>
      </c>
      <c r="AA24" s="991">
        <f>'KGCob(b)'!O30</f>
        <v>500</v>
      </c>
      <c r="AB24" s="989">
        <f>'LuzGrün(b)'!M30</f>
        <v>500</v>
      </c>
      <c r="AC24" s="2944">
        <f>'LuzGrün(b)'!N30</f>
        <v>500</v>
      </c>
      <c r="AD24" s="991">
        <f>'LuzGrün(b)'!O30</f>
        <v>500</v>
      </c>
      <c r="AE24" s="989">
        <f>'LuzHeuTr(b)'!M30</f>
        <v>500</v>
      </c>
      <c r="AF24" s="2944">
        <f>'LuzHeuTr(b)'!N30</f>
        <v>500</v>
      </c>
      <c r="AG24" s="991">
        <f>'LuzHeuTr(b)'!O30</f>
        <v>500</v>
      </c>
      <c r="AH24" s="989">
        <f>'Silomais(b)'!M30</f>
        <v>500</v>
      </c>
      <c r="AI24" s="2944">
        <f>'Silomais(b)'!N30</f>
        <v>500</v>
      </c>
      <c r="AJ24" s="991">
        <f>'Silomais(b)'!O30</f>
        <v>500</v>
      </c>
      <c r="AK24" s="989">
        <f>'GPS G-E(b)'!M30</f>
        <v>500</v>
      </c>
      <c r="AL24" s="2944">
        <f>'GPS G-E(b)'!N30</f>
        <v>500</v>
      </c>
      <c r="AM24" s="991">
        <f>'GPS G-E(b)'!O30</f>
        <v>500</v>
      </c>
      <c r="AN24" s="989">
        <f>'Zwf(b)'!M30</f>
        <v>0</v>
      </c>
      <c r="AO24" s="2944">
        <f>'Zwf(b)'!N30</f>
        <v>0</v>
      </c>
      <c r="AP24" s="991">
        <f>'Zwf(b)'!O30</f>
        <v>0</v>
      </c>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row>
    <row r="25" spans="1:99" s="163" customFormat="1" ht="17.350000000000001" customHeight="1" x14ac:dyDescent="0.2">
      <c r="A25" s="736"/>
      <c r="B25" s="1819" t="s">
        <v>84</v>
      </c>
      <c r="C25" s="1893"/>
      <c r="D25" s="1820" t="s">
        <v>154</v>
      </c>
      <c r="E25" s="1821">
        <f>'G3(b)'!$M$31</f>
        <v>5.4459427241286003</v>
      </c>
      <c r="F25" s="2834">
        <f>'G4(b)'!$M$31</f>
        <v>8.0851245723250003</v>
      </c>
      <c r="G25" s="1824">
        <f>'GS3(b)'!$M$31</f>
        <v>6.0475719710861009</v>
      </c>
      <c r="H25" s="2870">
        <f>'GS4(b)'!$M$31</f>
        <v>8.6368877384799987</v>
      </c>
      <c r="I25" s="1825" t="e">
        <f>#REF!</f>
        <v>#REF!</v>
      </c>
      <c r="J25" s="1822" t="e">
        <f>#REF!</f>
        <v>#REF!</v>
      </c>
      <c r="K25" s="1822">
        <f>'H2(b)'!$M$31</f>
        <v>3.8224432048927679</v>
      </c>
      <c r="L25" s="1821">
        <f>'H3(b)'!$M$31</f>
        <v>6.1821500333346959</v>
      </c>
      <c r="M25" s="2834">
        <f>'HTr.4(b)'!$M$31</f>
        <v>10.357167945272785</v>
      </c>
      <c r="N25" s="1824">
        <f>'Stw.(b)'!$M$31</f>
        <v>1.476994833</v>
      </c>
      <c r="O25" s="1825">
        <f>'Umw.(b)'!$M$31</f>
        <v>1.7739291678775999</v>
      </c>
      <c r="P25" s="1825">
        <f>'Porw.(b)'!$M$31</f>
        <v>3.49465496439</v>
      </c>
      <c r="Q25" s="1823">
        <f>'G3(b)'!$M$31</f>
        <v>5.4459427241286003</v>
      </c>
      <c r="R25"/>
      <c r="S25" s="1824">
        <f>'KGGrün(b)'!M31</f>
        <v>6.4537197874525001</v>
      </c>
      <c r="T25" s="2945">
        <f>'KGGrün(b)'!N31</f>
        <v>7.9593996567775003</v>
      </c>
      <c r="U25" s="1823">
        <f>'KGGrün(b)'!O31</f>
        <v>9.4650795261024978</v>
      </c>
      <c r="V25" s="1824">
        <f>'KSilo(b)'!M31</f>
        <v>7.5288064865230657</v>
      </c>
      <c r="W25" s="2945">
        <f>'KSilo(b)'!N31</f>
        <v>9.4630857032289413</v>
      </c>
      <c r="X25" s="1823">
        <f>'KSilo(b)'!O31</f>
        <v>11.397364919934821</v>
      </c>
      <c r="Y25" s="1824">
        <f>'KGCob(b)'!M31</f>
        <v>16.600231958860835</v>
      </c>
      <c r="Z25" s="2945">
        <f>'KGCob(b)'!N31</f>
        <v>20.596569020044168</v>
      </c>
      <c r="AA25" s="1823">
        <f>'KGCob(b)'!O31</f>
        <v>24.5929060812275</v>
      </c>
      <c r="AB25" s="1824">
        <f>'LuzGrün(b)'!M31</f>
        <v>4.1284690949525</v>
      </c>
      <c r="AC25" s="2945">
        <f>'LuzGrün(b)'!N31</f>
        <v>5.1809713792774996</v>
      </c>
      <c r="AD25" s="1823">
        <f>'LuzGrün(b)'!O31</f>
        <v>6.2334736636024983</v>
      </c>
      <c r="AE25" s="1824">
        <f>'LuzHeuTr(b)'!M31</f>
        <v>5.905289974673841</v>
      </c>
      <c r="AF25" s="2945">
        <f>'LuzHeuTr(b)'!N31</f>
        <v>7.5500658855726215</v>
      </c>
      <c r="AG25" s="1823">
        <f>'LuzHeuTr(b)'!O31</f>
        <v>9.1948417964714046</v>
      </c>
      <c r="AH25" s="1824">
        <f>'Silomais(b)'!M31</f>
        <v>10.070954751754696</v>
      </c>
      <c r="AI25" s="2945">
        <f>'Silomais(b)'!N31</f>
        <v>11.284128366098638</v>
      </c>
      <c r="AJ25" s="1823">
        <f>'Silomais(b)'!O31</f>
        <v>13.579507094786516</v>
      </c>
      <c r="AK25" s="1824">
        <f>'GPS G-E(b)'!M31</f>
        <v>4.7268034927234375</v>
      </c>
      <c r="AL25" s="2945">
        <f>'GPS G-E(b)'!N31</f>
        <v>5.4240675707478125</v>
      </c>
      <c r="AM25" s="1823">
        <f>'GPS G-E(b)'!O31</f>
        <v>6.1213316487721876</v>
      </c>
      <c r="AN25" s="1824">
        <f>'Zwf(b)'!M31</f>
        <v>4.0014962658618893</v>
      </c>
      <c r="AO25" s="2945">
        <f>'Zwf(b)'!N31</f>
        <v>4.4509164963760002</v>
      </c>
      <c r="AP25" s="1823">
        <f>'Zwf(b)'!O31</f>
        <v>4.9003367268901119</v>
      </c>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row>
    <row r="26" spans="1:99" s="163" customFormat="1" ht="21.25" customHeight="1" x14ac:dyDescent="0.2">
      <c r="A26" s="1031"/>
      <c r="B26" s="2177" t="s">
        <v>601</v>
      </c>
      <c r="C26" s="1894"/>
      <c r="D26" s="1818" t="s">
        <v>154</v>
      </c>
      <c r="E26" s="1343">
        <f>'G3(b)'!$M$32</f>
        <v>-316.79677858470461</v>
      </c>
      <c r="F26" s="2835">
        <f>'G4(b)'!$M$32</f>
        <v>-761.705056144325</v>
      </c>
      <c r="G26" s="1344">
        <f>'GS3(b)'!$M$32</f>
        <v>-413.6590873448622</v>
      </c>
      <c r="H26" s="2871">
        <f>'GS4(b)'!$M$32</f>
        <v>-850.53892589527982</v>
      </c>
      <c r="I26" s="1342" t="e">
        <f>#REF!</f>
        <v>#REF!</v>
      </c>
      <c r="J26" s="1340" t="e">
        <f>#REF!</f>
        <v>#REF!</v>
      </c>
      <c r="K26" s="1340">
        <f>'H2(b)'!$M$32</f>
        <v>-35.413355987735564</v>
      </c>
      <c r="L26" s="1343">
        <f>'H3(b)'!$M$32</f>
        <v>-435.32615536688598</v>
      </c>
      <c r="M26" s="2835">
        <f>'HTr.4(b)'!$M$32</f>
        <v>-1127.5040391889183</v>
      </c>
      <c r="N26" s="1344">
        <f>'Stw.(b)'!$M$32</f>
        <v>342.20383188700004</v>
      </c>
      <c r="O26" s="1342">
        <f>'Umw.(b)'!$M$32</f>
        <v>274.39740397170641</v>
      </c>
      <c r="P26" s="1342">
        <f>'Porw.(b)'!$M$32</f>
        <v>-2.6394492667899869</v>
      </c>
      <c r="Q26" s="1341">
        <f>'G3(b)'!$M$32</f>
        <v>-316.79677858470461</v>
      </c>
      <c r="R26"/>
      <c r="S26" s="1344">
        <f>'KGGrün(b)'!M32</f>
        <v>-539.04888577985241</v>
      </c>
      <c r="T26" s="2946">
        <f>'KGGrün(b)'!N32</f>
        <v>-781.46334474117737</v>
      </c>
      <c r="U26" s="1341">
        <f>'KGGrün(b)'!O32</f>
        <v>-1023.8778037025022</v>
      </c>
      <c r="V26" s="1344">
        <f>'KSilo(b)'!M32</f>
        <v>-712.13784433021351</v>
      </c>
      <c r="W26" s="2946">
        <f>'KSilo(b)'!N32</f>
        <v>-1023.5567982198593</v>
      </c>
      <c r="X26" s="1341">
        <f>'KSilo(b)'!O32</f>
        <v>-1334.9757521095059</v>
      </c>
      <c r="Y26" s="1344">
        <f>'KGCob(b)'!M32</f>
        <v>-2172.6373453765946</v>
      </c>
      <c r="Z26" s="2946">
        <f>'KGCob(b)'!N32</f>
        <v>-2816.0476122271107</v>
      </c>
      <c r="AA26" s="1341">
        <f>'KGCob(b)'!O32</f>
        <v>-3459.4578790776277</v>
      </c>
      <c r="AB26" s="1344">
        <f>'LuzGrün(b)'!M32</f>
        <v>-164.6835242873525</v>
      </c>
      <c r="AC26" s="2946">
        <f>'LuzGrün(b)'!N32</f>
        <v>-334.13639206367748</v>
      </c>
      <c r="AD26" s="1341">
        <f>'LuzGrün(b)'!O32</f>
        <v>-503.58925984000228</v>
      </c>
      <c r="AE26" s="1344">
        <f>'LuzHeuTr(b)'!M32</f>
        <v>-450.75168592248843</v>
      </c>
      <c r="AF26" s="2946">
        <f>'LuzHeuTr(b)'!N32</f>
        <v>-715.56060757719206</v>
      </c>
      <c r="AG26" s="1341">
        <f>'LuzHeuTr(b)'!O32</f>
        <v>-980.36952923189608</v>
      </c>
      <c r="AH26" s="1344">
        <f>'Silomais(b)'!M32</f>
        <v>-1121.4237150325062</v>
      </c>
      <c r="AI26" s="2946">
        <f>'Silomais(b)'!N32</f>
        <v>-1316.744666941881</v>
      </c>
      <c r="AJ26" s="1341">
        <f>'Silomais(b)'!O32</f>
        <v>-1686.300642260629</v>
      </c>
      <c r="AK26" s="1344">
        <f>'GPS G-E(b)'!M32</f>
        <v>-261.01536232847343</v>
      </c>
      <c r="AL26" s="2946">
        <f>'GPS G-E(b)'!N32</f>
        <v>-373.27487889039793</v>
      </c>
      <c r="AM26" s="1341">
        <f>'GPS G-E(b)'!O32</f>
        <v>-485.53439545232209</v>
      </c>
      <c r="AN26" s="1344">
        <f>'Zwf(b)'!M32</f>
        <v>-644.24089880376414</v>
      </c>
      <c r="AO26" s="2946">
        <f>'Zwf(b)'!N32</f>
        <v>-716.59755591653607</v>
      </c>
      <c r="AP26" s="1341">
        <f>'Zwf(b)'!O32</f>
        <v>-788.95421302930799</v>
      </c>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row>
    <row r="27" spans="1:99" s="163" customFormat="1" ht="17.350000000000001" customHeight="1" x14ac:dyDescent="0.2">
      <c r="A27" s="1032"/>
      <c r="B27" s="2912"/>
      <c r="C27" s="2913"/>
      <c r="D27" s="2914" t="s">
        <v>302</v>
      </c>
      <c r="E27" s="2915">
        <f>'G3(b)'!$M$33</f>
        <v>-8.4798548823155115E-2</v>
      </c>
      <c r="F27" s="2916">
        <f>'G4(b)'!$M$33</f>
        <v>-0.16296642193930788</v>
      </c>
      <c r="G27" s="2917">
        <f>'GS3(b)'!$M$33</f>
        <v>-0.12748943931070061</v>
      </c>
      <c r="H27" s="2918">
        <f>'GS4(b)'!$M$33</f>
        <v>-0.20089578789948911</v>
      </c>
      <c r="I27" s="2919" t="e">
        <f>#REF!</f>
        <v>#REF!</v>
      </c>
      <c r="J27" s="2920" t="e">
        <f>#REF!</f>
        <v>#REF!</v>
      </c>
      <c r="K27" s="2920">
        <f>'H2(b)'!$M$33</f>
        <v>-1.6837044638299607E-2</v>
      </c>
      <c r="L27" s="2915">
        <f>'H3(b)'!$M$33</f>
        <v>-0.14668781275998996</v>
      </c>
      <c r="M27" s="2916">
        <f>'HTr.4(b)'!$M$33</f>
        <v>-0.28604221465366009</v>
      </c>
      <c r="N27" s="2917">
        <f>'Stw.(b)'!$M$33</f>
        <v>0.1683659689480935</v>
      </c>
      <c r="O27" s="2919">
        <f>'Umw.(b)'!$M$33</f>
        <v>8.7221043856232167E-2</v>
      </c>
      <c r="P27" s="2919">
        <f>'Porw.(b)'!$M$33</f>
        <v>-5.6101796414049349E-4</v>
      </c>
      <c r="Q27" s="2921">
        <f>'G3(b)'!$M$33</f>
        <v>-8.4798548823155115E-2</v>
      </c>
      <c r="R27" s="1937"/>
      <c r="S27" s="2917">
        <f>'KGGrün(b)'!M33</f>
        <v>-0.12021607622209018</v>
      </c>
      <c r="T27" s="2920">
        <f>'KGGrün(b)'!N33</f>
        <v>-0.13942254143464361</v>
      </c>
      <c r="U27" s="2921">
        <f>'KGGrün(b)'!O33</f>
        <v>-0.15222685157634586</v>
      </c>
      <c r="V27" s="2917">
        <f>'KSilo(b)'!M33</f>
        <v>-0.20477853816718813</v>
      </c>
      <c r="W27" s="2920">
        <f>'KSilo(b)'!N33</f>
        <v>-0.22892216814722208</v>
      </c>
      <c r="X27" s="2921">
        <f>'KSilo(b)'!O33</f>
        <v>-0.24428629631633469</v>
      </c>
      <c r="Y27" s="2917">
        <f>'KGCob(b)'!M33</f>
        <v>-0.53671871180251851</v>
      </c>
      <c r="Z27" s="2920">
        <f>'KGCob(b)'!N33</f>
        <v>-0.55653114866148434</v>
      </c>
      <c r="AA27" s="2921">
        <f>'KGCob(b)'!O33</f>
        <v>-0.56973943990079512</v>
      </c>
      <c r="AB27" s="2917">
        <f>'LuzGrün(b)'!M33</f>
        <v>-4.9813528217589997E-2</v>
      </c>
      <c r="AC27" s="2920">
        <f>'LuzGrün(b)'!N33</f>
        <v>-7.5802266802104695E-2</v>
      </c>
      <c r="AD27" s="2921">
        <f>'LuzGrün(b)'!O33</f>
        <v>-9.1395509952813481E-2</v>
      </c>
      <c r="AE27" s="2917">
        <f>'LuzHeuTr(b)'!M33</f>
        <v>-0.16897274176131671</v>
      </c>
      <c r="AF27" s="2920">
        <f>'LuzHeuTr(b)'!N33</f>
        <v>-0.20118100752845028</v>
      </c>
      <c r="AG27" s="2921">
        <f>'LuzHeuTr(b)'!O33</f>
        <v>-0.22050596698873057</v>
      </c>
      <c r="AH27" s="2917">
        <f>'Silomais(b)'!M33</f>
        <v>-0.18444468997245167</v>
      </c>
      <c r="AI27" s="2920">
        <f>'Silomais(b)'!N33</f>
        <v>-0.17769833561968704</v>
      </c>
      <c r="AJ27" s="2921">
        <f>'Silomais(b)'!O33</f>
        <v>-0.16809216928435297</v>
      </c>
      <c r="AK27" s="2917">
        <f>'GPS G-E(b)'!M33</f>
        <v>-0.10902897340370653</v>
      </c>
      <c r="AL27" s="2920">
        <f>'GPS G-E(b)'!N33</f>
        <v>-0.11137214431626626</v>
      </c>
      <c r="AM27" s="2921">
        <f>'GPS G-E(b)'!O33</f>
        <v>-0.11267390593435489</v>
      </c>
      <c r="AN27" s="2917">
        <f>'Zwf(b)'!M33</f>
        <v>-0.37050891350573045</v>
      </c>
      <c r="AO27" s="2920">
        <f>'Zwf(b)'!N33</f>
        <v>-0.3205392538542387</v>
      </c>
      <c r="AP27" s="2921">
        <f>'Zwf(b)'!O33</f>
        <v>-0.28874037953056214</v>
      </c>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row>
    <row r="28" spans="1:99" s="163" customFormat="1" ht="17.350000000000001" customHeight="1" thickBot="1" x14ac:dyDescent="0.25">
      <c r="A28" s="739"/>
      <c r="B28" s="1707"/>
      <c r="C28" s="1601"/>
      <c r="D28" s="2014" t="s">
        <v>319</v>
      </c>
      <c r="E28" s="1709">
        <f>'G3(b)'!$M$34</f>
        <v>-5.0879129293893072E-2</v>
      </c>
      <c r="F28" s="2836">
        <f>'G4(b)'!$M$34</f>
        <v>-9.7779853163584715E-2</v>
      </c>
      <c r="G28" s="1710">
        <f>'GS3(b)'!$M$34</f>
        <v>-7.6493663586420374E-2</v>
      </c>
      <c r="H28" s="2872">
        <f>'GS4(b)'!$M$34</f>
        <v>-0.12053747273969348</v>
      </c>
      <c r="I28" s="1712" t="e">
        <f>#REF!</f>
        <v>#REF!</v>
      </c>
      <c r="J28" s="1708" t="e">
        <f>#REF!</f>
        <v>#REF!</v>
      </c>
      <c r="K28" s="1708">
        <f>'H2(b)'!$M$34</f>
        <v>-1.0102226782979765E-2</v>
      </c>
      <c r="L28" s="1709">
        <f>'H3(b)'!$M$34</f>
        <v>-8.8012687655993946E-2</v>
      </c>
      <c r="M28" s="2836">
        <f>'HTr.4(b)'!$M$34</f>
        <v>-0.17162532879219605</v>
      </c>
      <c r="N28" s="1710">
        <f>'Stw.(b)'!$M$34</f>
        <v>0.10101958136885608</v>
      </c>
      <c r="O28" s="1712">
        <f>'Umw.(b)'!$M$34</f>
        <v>5.2332626313739306E-2</v>
      </c>
      <c r="P28" s="1712">
        <f>'Porw.(b)'!$M$34</f>
        <v>-3.3661077848429611E-4</v>
      </c>
      <c r="Q28" s="1711">
        <f>'G3(b)'!$M$34</f>
        <v>-5.0879129293893072E-2</v>
      </c>
      <c r="R28"/>
      <c r="S28" s="1710">
        <f>'KGGrün(b)'!M34</f>
        <v>-7.2129645733254102E-2</v>
      </c>
      <c r="T28" s="2947">
        <f>'KGGrün(b)'!N34</f>
        <v>-8.3653524860786144E-2</v>
      </c>
      <c r="U28" s="1711">
        <f>'KGGrün(b)'!O34</f>
        <v>-9.1336110945807514E-2</v>
      </c>
      <c r="V28" s="1710">
        <f>'KSilo(b)'!M34</f>
        <v>-0.12286712290031285</v>
      </c>
      <c r="W28" s="2947">
        <f>'KSilo(b)'!N34</f>
        <v>-0.13735330088833325</v>
      </c>
      <c r="X28" s="1711">
        <f>'KSilo(b)'!O34</f>
        <v>-0.14657177778980082</v>
      </c>
      <c r="Y28" s="1710">
        <f>'KGCob(b)'!M34</f>
        <v>-0.322031227081511</v>
      </c>
      <c r="Z28" s="2947">
        <f>'KGCob(b)'!N34</f>
        <v>-0.33391868919689049</v>
      </c>
      <c r="AA28" s="1711">
        <f>'KGCob(b)'!O34</f>
        <v>-0.34184366394047699</v>
      </c>
      <c r="AB28" s="1710">
        <f>'LuzGrün(b)'!M34</f>
        <v>-2.9888116930553991E-2</v>
      </c>
      <c r="AC28" s="2947">
        <f>'LuzGrün(b)'!N34</f>
        <v>-4.5481360081262821E-2</v>
      </c>
      <c r="AD28" s="1711">
        <f>'LuzGrün(b)'!O34</f>
        <v>-5.4837305971688094E-2</v>
      </c>
      <c r="AE28" s="1710">
        <f>'LuzHeuTr(b)'!M34</f>
        <v>-0.10138364505679003</v>
      </c>
      <c r="AF28" s="2947">
        <f>'LuzHeuTr(b)'!N34</f>
        <v>-0.12070860451707015</v>
      </c>
      <c r="AG28" s="1711">
        <f>'LuzHeuTr(b)'!O34</f>
        <v>-0.13230358019323832</v>
      </c>
      <c r="AH28" s="1710">
        <f>'Silomais(b)'!M34</f>
        <v>-0.11066681398347097</v>
      </c>
      <c r="AI28" s="2947">
        <f>'Silomais(b)'!N34</f>
        <v>-0.10661900137181222</v>
      </c>
      <c r="AJ28" s="1711">
        <f>'Silomais(b)'!O34</f>
        <v>-0.10085530157061179</v>
      </c>
      <c r="AK28" s="1710">
        <f>'GPS G-E(b)'!M34</f>
        <v>-6.5417384042223914E-2</v>
      </c>
      <c r="AL28" s="2947">
        <f>'GPS G-E(b)'!N34</f>
        <v>-6.6823286589759751E-2</v>
      </c>
      <c r="AM28" s="1711">
        <f>'GPS G-E(b)'!O34</f>
        <v>-6.7604343560612928E-2</v>
      </c>
      <c r="AN28" s="1710">
        <f>'Zwf(b)'!M34</f>
        <v>-0.22230534810343822</v>
      </c>
      <c r="AO28" s="2947">
        <f>'Zwf(b)'!N34</f>
        <v>-0.19232355231254325</v>
      </c>
      <c r="AP28" s="1711">
        <f>'Zwf(b)'!O34</f>
        <v>-0.17324422771833728</v>
      </c>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row>
    <row r="29" spans="1:99" s="163" customFormat="1" ht="4.25" customHeight="1" thickBot="1" x14ac:dyDescent="0.25">
      <c r="A29" s="1689"/>
      <c r="B29" s="1734"/>
      <c r="C29" s="1896"/>
      <c r="D29" s="1713"/>
      <c r="E29" s="1714"/>
      <c r="F29" s="2837"/>
      <c r="G29" s="1725"/>
      <c r="H29" s="1732"/>
      <c r="I29" s="1721"/>
      <c r="J29" s="1721"/>
      <c r="K29" s="1726"/>
      <c r="L29" s="1714"/>
      <c r="M29" s="2837"/>
      <c r="N29" s="1725"/>
      <c r="O29" s="1714"/>
      <c r="P29" s="1714"/>
      <c r="Q29" s="1732"/>
      <c r="R29"/>
      <c r="S29" s="1956"/>
      <c r="T29" s="1714"/>
      <c r="U29" s="1732"/>
      <c r="V29" s="1956"/>
      <c r="W29" s="1714"/>
      <c r="X29" s="1732"/>
      <c r="Y29" s="1956"/>
      <c r="Z29" s="1714"/>
      <c r="AA29" s="1732"/>
      <c r="AB29" s="1956"/>
      <c r="AC29" s="1714"/>
      <c r="AD29" s="1732"/>
      <c r="AE29" s="1956"/>
      <c r="AF29" s="1714"/>
      <c r="AG29" s="1732"/>
      <c r="AH29" s="1956"/>
      <c r="AI29" s="1714"/>
      <c r="AJ29" s="1732"/>
      <c r="AK29" s="1956"/>
      <c r="AL29" s="1714"/>
      <c r="AM29" s="1732"/>
      <c r="AN29" s="1956"/>
      <c r="AO29" s="1714"/>
      <c r="AP29" s="1732"/>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row>
    <row r="30" spans="1:99" s="163" customFormat="1" ht="17.350000000000001" customHeight="1" x14ac:dyDescent="0.2">
      <c r="A30" s="265"/>
      <c r="B30" s="1715" t="s">
        <v>160</v>
      </c>
      <c r="C30" s="1897"/>
      <c r="D30" s="1716" t="s">
        <v>161</v>
      </c>
      <c r="E30" s="1977">
        <f>'G3(b)'!$M$36</f>
        <v>14.423400000000001</v>
      </c>
      <c r="F30" s="2838">
        <f>'G4(b)'!$M$36</f>
        <v>19.509</v>
      </c>
      <c r="G30" s="1980">
        <f>'GS3(b)'!$M$36</f>
        <v>7.8793600000000001</v>
      </c>
      <c r="H30" s="2873">
        <f>'GS4(b)'!$M$36</f>
        <v>9.7311999999999994</v>
      </c>
      <c r="I30" s="1981" t="e">
        <f>#REF!</f>
        <v>#REF!</v>
      </c>
      <c r="J30" s="1978" t="e">
        <f>#REF!</f>
        <v>#REF!</v>
      </c>
      <c r="K30" s="1978">
        <f>'H2(b)'!$M$36</f>
        <v>9.8277865612648192</v>
      </c>
      <c r="L30" s="1977">
        <f>'H3(b)'!$M$36</f>
        <v>13.78802252964427</v>
      </c>
      <c r="M30" s="2838">
        <f>'HTr.4(b)'!$M$36</f>
        <v>16.852616600790512</v>
      </c>
      <c r="N30" s="1980">
        <f>'Stw.(b)'!$M$36</f>
        <v>12.32</v>
      </c>
      <c r="O30" s="1981">
        <f>'Umw.(b)'!$M$36</f>
        <v>15.016320000000004</v>
      </c>
      <c r="P30" s="1981">
        <f>'Porw.(b)'!$M$36</f>
        <v>19.294</v>
      </c>
      <c r="Q30" s="1979">
        <f>'G3(b)'!$M$36</f>
        <v>14.423400000000001</v>
      </c>
      <c r="R30"/>
      <c r="S30" s="1980">
        <f>'KGGrün(b)'!M36</f>
        <v>17.791999999999998</v>
      </c>
      <c r="T30" s="2948">
        <f>'KGGrün(b)'!N36</f>
        <v>22.704000000000001</v>
      </c>
      <c r="U30" s="1979">
        <f>'KGGrün(b)'!O36</f>
        <v>27.259999999999998</v>
      </c>
      <c r="V30" s="1980">
        <f>'KSilo(b)'!M36</f>
        <v>11.852907612712489</v>
      </c>
      <c r="W30" s="2948">
        <f>'KSilo(b)'!N36</f>
        <v>14.532738359201774</v>
      </c>
      <c r="X30" s="1979">
        <f>'KSilo(b)'!O36</f>
        <v>17.212569105691056</v>
      </c>
      <c r="Y30" s="1980">
        <f>'KGCob(b)'!M36</f>
        <v>7.887999999999999</v>
      </c>
      <c r="Z30" s="2948">
        <f>'KGCob(b)'!N36</f>
        <v>9.4349999999999987</v>
      </c>
      <c r="AA30" s="1979">
        <f>'KGCob(b)'!O36</f>
        <v>10.981999999999999</v>
      </c>
      <c r="AB30" s="1980">
        <f>'LuzGrün(b)'!M36</f>
        <v>18.904</v>
      </c>
      <c r="AC30" s="2948">
        <f>'LuzGrün(b)'!N36</f>
        <v>24.122999999999998</v>
      </c>
      <c r="AD30" s="1979">
        <f>'LuzGrün(b)'!O36</f>
        <v>27.259999999999998</v>
      </c>
      <c r="AE30" s="1980">
        <f>'LuzHeuTr(b)'!M36</f>
        <v>7.887999999999999</v>
      </c>
      <c r="AF30" s="2948">
        <f>'LuzHeuTr(b)'!N36</f>
        <v>9.4349999999999987</v>
      </c>
      <c r="AG30" s="1979">
        <f>'LuzHeuTr(b)'!O36</f>
        <v>10.981999999999999</v>
      </c>
      <c r="AH30" s="1980">
        <f>'Silomais(b)'!M36</f>
        <v>15.518595959595958</v>
      </c>
      <c r="AI30" s="2948">
        <f>'Silomais(b)'!N36</f>
        <v>16.490515151515151</v>
      </c>
      <c r="AJ30" s="1979">
        <f>'Silomais(b)'!O36</f>
        <v>18.434353535353534</v>
      </c>
      <c r="AK30" s="1980">
        <f>'GPS G-E(b)'!M36</f>
        <v>8.313505952380952</v>
      </c>
      <c r="AL30" s="2948">
        <f>'GPS G-E(b)'!N36</f>
        <v>9.4017083333333318</v>
      </c>
      <c r="AM30" s="1979">
        <f>'GPS G-E(b)'!O36</f>
        <v>10.489910714285712</v>
      </c>
      <c r="AN30" s="1980">
        <f>'Zwf(b)'!M36</f>
        <v>7.7358814814814805</v>
      </c>
      <c r="AO30" s="2948">
        <f>'Zwf(b)'!N36</f>
        <v>8.0081333333333333</v>
      </c>
      <c r="AP30" s="1979">
        <f>'Zwf(b)'!O36</f>
        <v>8.2803851851851853</v>
      </c>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row>
    <row r="31" spans="1:99" s="163" customFormat="1" ht="17.350000000000001" customHeight="1" x14ac:dyDescent="0.2">
      <c r="A31" s="265"/>
      <c r="B31" s="1682" t="s">
        <v>162</v>
      </c>
      <c r="C31" s="1898"/>
      <c r="D31" s="1650" t="s">
        <v>378</v>
      </c>
      <c r="E31" s="1982">
        <f>'G3(b)'!$M$37</f>
        <v>107.20486111111111</v>
      </c>
      <c r="F31" s="2839">
        <f>'G4(b)'!$M$37</f>
        <v>131.94444444444443</v>
      </c>
      <c r="G31" s="998">
        <f>'GS3(b)'!$M$37</f>
        <v>26.731601731601735</v>
      </c>
      <c r="H31" s="2874">
        <f>'GS4(b)'!$M$37</f>
        <v>32.900432900432904</v>
      </c>
      <c r="I31" s="1983" t="e">
        <f>#REF!</f>
        <v>#REF!</v>
      </c>
      <c r="J31" s="999" t="e">
        <f>#REF!</f>
        <v>#REF!</v>
      </c>
      <c r="K31" s="999">
        <f>'H2(b)'!$M$37</f>
        <v>28.409090909090914</v>
      </c>
      <c r="L31" s="1982">
        <f>'H3(b)'!$M$37</f>
        <v>36.93181818181818</v>
      </c>
      <c r="M31" s="2839">
        <f>'HTr.4(b)'!$M$37</f>
        <v>46.843434343434353</v>
      </c>
      <c r="N31" s="998">
        <f>'Stw.(b)'!$M$37</f>
        <v>0</v>
      </c>
      <c r="O31" s="1983">
        <f>'Umw.(b)'!$M$37</f>
        <v>0</v>
      </c>
      <c r="P31" s="1983">
        <f>'Porw.(b)'!$M$37</f>
        <v>0</v>
      </c>
      <c r="Q31" s="997">
        <f>'G3(b)'!$M$37</f>
        <v>107.20486111111111</v>
      </c>
      <c r="R31"/>
      <c r="S31" s="998">
        <f>'KGGrün(b)'!M37</f>
        <v>0</v>
      </c>
      <c r="T31" s="2949">
        <f>'KGGrün(b)'!N37</f>
        <v>0</v>
      </c>
      <c r="U31" s="997">
        <f>'KGGrün(b)'!O37</f>
        <v>0</v>
      </c>
      <c r="V31" s="998">
        <f>'KSilo(b)'!M37</f>
        <v>30.023310023310025</v>
      </c>
      <c r="W31" s="2949">
        <f>'KSilo(b)'!N37</f>
        <v>38.6013986013986</v>
      </c>
      <c r="X31" s="997">
        <f>'KSilo(b)'!O37</f>
        <v>47.179487179487182</v>
      </c>
      <c r="Y31" s="998">
        <f>'KGCob(b)'!M37</f>
        <v>57.499999999999993</v>
      </c>
      <c r="Z31" s="2949">
        <f>'KGCob(b)'!N37</f>
        <v>71.875</v>
      </c>
      <c r="AA31" s="997">
        <f>'KGCob(b)'!O37</f>
        <v>86.25</v>
      </c>
      <c r="AB31" s="998">
        <f>'LuzGrün(b)'!M37</f>
        <v>0</v>
      </c>
      <c r="AC31" s="2949">
        <f>'LuzGrün(b)'!N37</f>
        <v>0</v>
      </c>
      <c r="AD31" s="997">
        <f>'LuzGrün(b)'!O37</f>
        <v>0</v>
      </c>
      <c r="AE31" s="998">
        <f>'LuzHeuTr(b)'!M37</f>
        <v>36.585365853658544</v>
      </c>
      <c r="AF31" s="2949">
        <f>'LuzHeuTr(b)'!N37</f>
        <v>48.780487804878057</v>
      </c>
      <c r="AG31" s="997">
        <f>'LuzHeuTr(b)'!O37</f>
        <v>60.975609756097569</v>
      </c>
      <c r="AH31" s="998">
        <f>'Silomais(b)'!M37</f>
        <v>43.290043290043286</v>
      </c>
      <c r="AI31" s="2949">
        <f>'Silomais(b)'!N37</f>
        <v>51.94805194805194</v>
      </c>
      <c r="AJ31" s="997">
        <f>'Silomais(b)'!O37</f>
        <v>69.264069264069263</v>
      </c>
      <c r="AK31" s="998">
        <f>'GPS G-E(b)'!M37</f>
        <v>26.098901098901099</v>
      </c>
      <c r="AL31" s="2949">
        <f>'GPS G-E(b)'!N37</f>
        <v>36.53846153846154</v>
      </c>
      <c r="AM31" s="997">
        <f>'GPS G-E(b)'!O37</f>
        <v>46.978021978021978</v>
      </c>
      <c r="AN31" s="998">
        <f>'Zwf(b)'!M37</f>
        <v>25.555555555555554</v>
      </c>
      <c r="AO31" s="2949">
        <f>'Zwf(b)'!N37</f>
        <v>32.857142857142854</v>
      </c>
      <c r="AP31" s="997">
        <f>'Zwf(b)'!O37</f>
        <v>40.158730158730158</v>
      </c>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row>
    <row r="32" spans="1:99" s="163" customFormat="1" ht="17.350000000000001" customHeight="1" x14ac:dyDescent="0.2">
      <c r="A32" s="737"/>
      <c r="B32" s="1677" t="s">
        <v>98</v>
      </c>
      <c r="C32" s="1905">
        <f>Preise!M37</f>
        <v>16.5</v>
      </c>
      <c r="D32" s="1652" t="s">
        <v>154</v>
      </c>
      <c r="E32" s="981">
        <f>'G3(b)'!$M$39</f>
        <v>237.98610000000002</v>
      </c>
      <c r="F32" s="2826">
        <f>'G4(b)'!$M$39</f>
        <v>321.89850000000001</v>
      </c>
      <c r="G32" s="982">
        <f>'GS3(b)'!$M$39</f>
        <v>130.00944000000001</v>
      </c>
      <c r="H32" s="2862">
        <f>'GS4(b)'!$M$39</f>
        <v>160.56479999999999</v>
      </c>
      <c r="I32" s="979" t="e">
        <f>#REF!</f>
        <v>#REF!</v>
      </c>
      <c r="J32" s="983" t="e">
        <f>#REF!</f>
        <v>#REF!</v>
      </c>
      <c r="K32" s="983">
        <f>'H2(b)'!$M$39</f>
        <v>162.15847826086951</v>
      </c>
      <c r="L32" s="981">
        <f>'H3(b)'!$M$39</f>
        <v>227.50237173913044</v>
      </c>
      <c r="M32" s="2826">
        <f>'HTr.4(b)'!$M$39</f>
        <v>278.06817391304344</v>
      </c>
      <c r="N32" s="982">
        <f>'Stw.(b)'!$M$39</f>
        <v>203.28</v>
      </c>
      <c r="O32" s="979">
        <f>'Umw.(b)'!$M$39</f>
        <v>247.76928000000007</v>
      </c>
      <c r="P32" s="979">
        <f>'Porw.(b)'!$M$39</f>
        <v>318.351</v>
      </c>
      <c r="Q32" s="980">
        <f>'G3(b)'!$M$39</f>
        <v>237.98610000000002</v>
      </c>
      <c r="R32"/>
      <c r="S32" s="982">
        <f>'KGGrün(b)'!M38</f>
        <v>293.56799999999998</v>
      </c>
      <c r="T32" s="2938">
        <f>'KGGrün(b)'!N38</f>
        <v>374.61599999999999</v>
      </c>
      <c r="U32" s="980">
        <f>'KGGrün(b)'!O38</f>
        <v>449.78999999999996</v>
      </c>
      <c r="V32" s="982">
        <f>'KSilo(b)'!M38</f>
        <v>195.57297560975607</v>
      </c>
      <c r="W32" s="2938">
        <f>'KSilo(b)'!N38</f>
        <v>239.79018292682929</v>
      </c>
      <c r="X32" s="980">
        <f>'KSilo(b)'!O38</f>
        <v>284.00739024390242</v>
      </c>
      <c r="Y32" s="982">
        <f>'KGCob(b)'!M38</f>
        <v>130.15199999999999</v>
      </c>
      <c r="Z32" s="2938">
        <f>'KGCob(b)'!N38</f>
        <v>155.67749999999998</v>
      </c>
      <c r="AA32" s="980">
        <f>'KGCob(b)'!O38</f>
        <v>181.20299999999997</v>
      </c>
      <c r="AB32" s="982">
        <f>'LuzGrün(b)'!M38</f>
        <v>311.916</v>
      </c>
      <c r="AC32" s="2938">
        <f>'LuzGrün(b)'!N38</f>
        <v>398.02949999999998</v>
      </c>
      <c r="AD32" s="980">
        <f>'LuzGrün(b)'!O38</f>
        <v>449.78999999999996</v>
      </c>
      <c r="AE32" s="982">
        <f>'LuzHeuTr(b)'!M38</f>
        <v>130.15199999999999</v>
      </c>
      <c r="AF32" s="2938">
        <f>'LuzHeuTr(b)'!N38</f>
        <v>155.67749999999998</v>
      </c>
      <c r="AG32" s="980">
        <f>'LuzHeuTr(b)'!O38</f>
        <v>181.20299999999997</v>
      </c>
      <c r="AH32" s="982">
        <f>'Silomais(b)'!M38</f>
        <v>256.05683333333332</v>
      </c>
      <c r="AI32" s="2938">
        <f>'Silomais(b)'!N38</f>
        <v>272.09350000000001</v>
      </c>
      <c r="AJ32" s="980">
        <f>'Silomais(b)'!O38</f>
        <v>304.16683333333333</v>
      </c>
      <c r="AK32" s="982">
        <f>'GPS G-E(b)'!M38</f>
        <v>137.17284821428572</v>
      </c>
      <c r="AL32" s="2938">
        <f>'GPS G-E(b)'!N38</f>
        <v>155.12818749999997</v>
      </c>
      <c r="AM32" s="980">
        <f>'GPS G-E(b)'!O38</f>
        <v>173.08352678571424</v>
      </c>
      <c r="AN32" s="982">
        <f>'Zwf(b)'!M38</f>
        <v>127.64204444444442</v>
      </c>
      <c r="AO32" s="2938">
        <f>'Zwf(b)'!N38</f>
        <v>132.13419999999999</v>
      </c>
      <c r="AP32" s="980">
        <f>'Zwf(b)'!O38</f>
        <v>136.62635555555556</v>
      </c>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row>
    <row r="33" spans="1:99" s="163" customFormat="1" ht="17.350000000000001" customHeight="1" x14ac:dyDescent="0.2">
      <c r="A33" s="737"/>
      <c r="B33" s="1677" t="s">
        <v>163</v>
      </c>
      <c r="C33" s="1888"/>
      <c r="D33" s="1651" t="s">
        <v>154</v>
      </c>
      <c r="E33" s="981">
        <f>'G3(b)'!$M$40</f>
        <v>0</v>
      </c>
      <c r="F33" s="2826">
        <f>'G4(b)'!$M$40</f>
        <v>0</v>
      </c>
      <c r="G33" s="982">
        <f>'GS3(b)'!$M$40</f>
        <v>67.597537878787875</v>
      </c>
      <c r="H33" s="2862">
        <f>'GS4(b)'!$M$40</f>
        <v>83.196969696969703</v>
      </c>
      <c r="I33" s="979" t="e">
        <f>#REF!</f>
        <v>#REF!</v>
      </c>
      <c r="J33" s="983" t="e">
        <f>#REF!</f>
        <v>#REF!</v>
      </c>
      <c r="K33" s="983">
        <f>'H2(b)'!$M$40</f>
        <v>84.770596590909093</v>
      </c>
      <c r="L33" s="981">
        <f>'H3(b)'!$M$40</f>
        <v>110.2017755681818</v>
      </c>
      <c r="M33" s="2826">
        <f>'HTr.4(b)'!$M$40</f>
        <v>253.61236426767681</v>
      </c>
      <c r="N33" s="982">
        <f>'Stw.(b)'!$M$40</f>
        <v>0</v>
      </c>
      <c r="O33" s="979">
        <f>'Umw.(b)'!$M$40</f>
        <v>0</v>
      </c>
      <c r="P33" s="979">
        <f>'Porw.(b)'!$M$40</f>
        <v>0</v>
      </c>
      <c r="Q33" s="980">
        <f>'G3(b)'!$M$40</f>
        <v>0</v>
      </c>
      <c r="R33"/>
      <c r="S33" s="982">
        <f>'KGGrün(b)'!M39</f>
        <v>0</v>
      </c>
      <c r="T33" s="2938">
        <f>'KGGrün(b)'!N39</f>
        <v>0</v>
      </c>
      <c r="U33" s="980">
        <f>'KGGrün(b)'!O39</f>
        <v>0</v>
      </c>
      <c r="V33" s="982">
        <f>'KSilo(b)'!M39</f>
        <v>75.921445221445225</v>
      </c>
      <c r="W33" s="2938">
        <f>'KSilo(b)'!N39</f>
        <v>97.613286713286712</v>
      </c>
      <c r="X33" s="980">
        <f>'KSilo(b)'!O39</f>
        <v>119.30512820512821</v>
      </c>
      <c r="Y33" s="982">
        <f>'KGCob(b)'!M39</f>
        <v>171.57568749999996</v>
      </c>
      <c r="Z33" s="2938">
        <f>'KGCob(b)'!N39</f>
        <v>214.46960937499998</v>
      </c>
      <c r="AA33" s="980">
        <f>'KGCob(b)'!O39</f>
        <v>257.36353124999999</v>
      </c>
      <c r="AB33" s="982">
        <f>'LuzGrün(b)'!M39</f>
        <v>0</v>
      </c>
      <c r="AC33" s="2938">
        <f>'LuzGrün(b)'!N39</f>
        <v>0</v>
      </c>
      <c r="AD33" s="980">
        <f>'LuzGrün(b)'!O39</f>
        <v>0</v>
      </c>
      <c r="AE33" s="982">
        <f>'LuzHeuTr(b)'!M39</f>
        <v>266.98810975609763</v>
      </c>
      <c r="AF33" s="2938">
        <f>'LuzHeuTr(b)'!N39</f>
        <v>355.98414634146349</v>
      </c>
      <c r="AG33" s="980">
        <f>'LuzHeuTr(b)'!O39</f>
        <v>444.98018292682934</v>
      </c>
      <c r="AH33" s="982">
        <f>'Silomais(b)'!M39</f>
        <v>109.46969696969697</v>
      </c>
      <c r="AI33" s="2938">
        <f>'Silomais(b)'!N39</f>
        <v>131.36363636363635</v>
      </c>
      <c r="AJ33" s="980">
        <f>'Silomais(b)'!O39</f>
        <v>175.15151515151516</v>
      </c>
      <c r="AK33" s="982">
        <f>'GPS G-E(b)'!M39</f>
        <v>65.99759615384616</v>
      </c>
      <c r="AL33" s="2938">
        <f>'GPS G-E(b)'!N39</f>
        <v>92.396634615384627</v>
      </c>
      <c r="AM33" s="980">
        <f>'GPS G-E(b)'!O39</f>
        <v>118.79567307692308</v>
      </c>
      <c r="AN33" s="982">
        <f>'Zwf(b)'!M39</f>
        <v>64.623611111111103</v>
      </c>
      <c r="AO33" s="2938">
        <f>'Zwf(b)'!N39</f>
        <v>83.087499999999991</v>
      </c>
      <c r="AP33" s="980">
        <f>'Zwf(b)'!O39</f>
        <v>101.55138888888889</v>
      </c>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row>
    <row r="34" spans="1:99" s="163" customFormat="1" ht="17.350000000000001" customHeight="1" x14ac:dyDescent="0.2">
      <c r="A34" s="737"/>
      <c r="B34" s="1677" t="s">
        <v>413</v>
      </c>
      <c r="C34" s="1888"/>
      <c r="D34" s="1651" t="s">
        <v>154</v>
      </c>
      <c r="E34" s="981">
        <f>'G3(b)'!$M$41</f>
        <v>236.99238553030298</v>
      </c>
      <c r="F34" s="2826">
        <f>'G4(b)'!$M$41</f>
        <v>236.99238553030298</v>
      </c>
      <c r="G34" s="982">
        <f>'GS3(b)'!$M$41</f>
        <v>312.80863780303025</v>
      </c>
      <c r="H34" s="2862">
        <f>'GS4(b)'!$M$41</f>
        <v>312.80863780303025</v>
      </c>
      <c r="I34" s="979" t="e">
        <f>#REF!</f>
        <v>#REF!</v>
      </c>
      <c r="J34" s="983" t="e">
        <f>#REF!</f>
        <v>#REF!</v>
      </c>
      <c r="K34" s="983">
        <f>'H2(b)'!$M$41</f>
        <v>312.80863780303025</v>
      </c>
      <c r="L34" s="981">
        <f>'H3(b)'!$M$41</f>
        <v>312.80863780303025</v>
      </c>
      <c r="M34" s="2826">
        <f>'HTr.4(b)'!$M$41</f>
        <v>312.80863780303025</v>
      </c>
      <c r="N34" s="982">
        <f>'Stw.(b)'!$M$41</f>
        <v>111.17085777777777</v>
      </c>
      <c r="O34" s="979">
        <f>'Umw.(b)'!$M$41</f>
        <v>111.17085777777777</v>
      </c>
      <c r="P34" s="979">
        <f>'Porw.(b)'!$M$41</f>
        <v>111.17085777777777</v>
      </c>
      <c r="Q34" s="980">
        <f>'G3(b)'!$M$41</f>
        <v>236.99238553030298</v>
      </c>
      <c r="R34"/>
      <c r="S34" s="982">
        <f>'KGGrün(b)'!M40</f>
        <v>333.64352678030309</v>
      </c>
      <c r="T34" s="2938">
        <f>'KGGrün(b)'!N40</f>
        <v>333.64352678030309</v>
      </c>
      <c r="U34" s="980">
        <f>'KGGrün(b)'!O40</f>
        <v>333.64352678030309</v>
      </c>
      <c r="V34" s="982">
        <f>'KSilo(b)'!M40</f>
        <v>409.45977905303033</v>
      </c>
      <c r="W34" s="2938">
        <f>'KSilo(b)'!N40</f>
        <v>409.45977905303033</v>
      </c>
      <c r="X34" s="980">
        <f>'KSilo(b)'!O40</f>
        <v>409.45977905303033</v>
      </c>
      <c r="Y34" s="982">
        <f>'KGCob(b)'!M40</f>
        <v>409.45977905303033</v>
      </c>
      <c r="Z34" s="2938">
        <f>'KGCob(b)'!N40</f>
        <v>409.45977905303033</v>
      </c>
      <c r="AA34" s="980">
        <f>'KGCob(b)'!O40</f>
        <v>409.45977905303033</v>
      </c>
      <c r="AB34" s="982">
        <f>'LuzGrün(b)'!M40</f>
        <v>333.64352678030309</v>
      </c>
      <c r="AC34" s="2938">
        <f>'LuzGrün(b)'!N40</f>
        <v>333.64352678030309</v>
      </c>
      <c r="AD34" s="980">
        <f>'LuzGrün(b)'!O40</f>
        <v>333.64352678030309</v>
      </c>
      <c r="AE34" s="982">
        <f>'LuzHeuTr(b)'!M40</f>
        <v>409.45977905303033</v>
      </c>
      <c r="AF34" s="2938">
        <f>'LuzHeuTr(b)'!N40</f>
        <v>409.45977905303033</v>
      </c>
      <c r="AG34" s="980">
        <f>'LuzHeuTr(b)'!O40</f>
        <v>409.45977905303033</v>
      </c>
      <c r="AH34" s="982">
        <f>'Silomais(b)'!M40</f>
        <v>293.19454033333335</v>
      </c>
      <c r="AI34" s="2938">
        <f>'Silomais(b)'!N40</f>
        <v>293.19454033333335</v>
      </c>
      <c r="AJ34" s="980">
        <f>'Silomais(b)'!O40</f>
        <v>293.19454033333335</v>
      </c>
      <c r="AK34" s="982">
        <f>'GPS G-E(b)'!M40</f>
        <v>293.19454033333335</v>
      </c>
      <c r="AL34" s="2938">
        <f>'GPS G-E(b)'!N40</f>
        <v>293.19454033333335</v>
      </c>
      <c r="AM34" s="980">
        <f>'GPS G-E(b)'!O40</f>
        <v>293.19454033333335</v>
      </c>
      <c r="AN34" s="982">
        <f>'Zwf(b)'!M40</f>
        <v>0</v>
      </c>
      <c r="AO34" s="2938">
        <f>'Zwf(b)'!N40</f>
        <v>0</v>
      </c>
      <c r="AP34" s="980">
        <f>'Zwf(b)'!O40</f>
        <v>0</v>
      </c>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row>
    <row r="35" spans="1:99" s="163" customFormat="1" ht="17.350000000000001" customHeight="1" x14ac:dyDescent="0.2">
      <c r="A35" s="737"/>
      <c r="B35" s="1677" t="s">
        <v>164</v>
      </c>
      <c r="C35" s="1888"/>
      <c r="D35" s="1651" t="s">
        <v>154</v>
      </c>
      <c r="E35" s="981">
        <f>'G3(b)'!$M$42</f>
        <v>38.823749999999997</v>
      </c>
      <c r="F35" s="2826">
        <f>'G4(b)'!$M$42</f>
        <v>38.823749999999997</v>
      </c>
      <c r="G35" s="982">
        <f>'GS3(b)'!$M$42</f>
        <v>38.823749999999997</v>
      </c>
      <c r="H35" s="2862">
        <f>'GS4(b)'!$M$42</f>
        <v>38.823749999999997</v>
      </c>
      <c r="I35" s="979" t="e">
        <f>#REF!</f>
        <v>#REF!</v>
      </c>
      <c r="J35" s="983" t="e">
        <f>#REF!</f>
        <v>#REF!</v>
      </c>
      <c r="K35" s="983">
        <f>'H2(b)'!$M$42</f>
        <v>38.823749999999997</v>
      </c>
      <c r="L35" s="981">
        <f>'H3(b)'!$M$42</f>
        <v>38.823749999999997</v>
      </c>
      <c r="M35" s="2826">
        <f>'HTr.4(b)'!$M$42</f>
        <v>38.823749999999997</v>
      </c>
      <c r="N35" s="982">
        <f>'Stw.(b)'!$M$42</f>
        <v>38.823749999999997</v>
      </c>
      <c r="O35" s="979">
        <f>'Umw.(b)'!$M$42</f>
        <v>38.823749999999997</v>
      </c>
      <c r="P35" s="979">
        <f>'Porw.(b)'!$M$42</f>
        <v>38.823749999999997</v>
      </c>
      <c r="Q35" s="980">
        <f>'G3(b)'!$M$42</f>
        <v>38.823749999999997</v>
      </c>
      <c r="R35"/>
      <c r="S35" s="982">
        <f>'KGGrün(b)'!M41</f>
        <v>38.823749999999997</v>
      </c>
      <c r="T35" s="2938">
        <f>'KGGrün(b)'!N41</f>
        <v>38.823749999999997</v>
      </c>
      <c r="U35" s="980">
        <f>'KGGrün(b)'!O41</f>
        <v>38.823749999999997</v>
      </c>
      <c r="V35" s="982">
        <f>'KSilo(b)'!M41</f>
        <v>38.823749999999997</v>
      </c>
      <c r="W35" s="2938">
        <f>'KSilo(b)'!N41</f>
        <v>38.823749999999997</v>
      </c>
      <c r="X35" s="980">
        <f>'KSilo(b)'!O41</f>
        <v>38.823749999999997</v>
      </c>
      <c r="Y35" s="982">
        <f>'KGCob(b)'!M41</f>
        <v>38.823749999999997</v>
      </c>
      <c r="Z35" s="2938">
        <f>'KGCob(b)'!N41</f>
        <v>38.823749999999997</v>
      </c>
      <c r="AA35" s="980">
        <f>'KGCob(b)'!O41</f>
        <v>38.823749999999997</v>
      </c>
      <c r="AB35" s="982">
        <f>'LuzGrün(b)'!M41</f>
        <v>38.823749999999997</v>
      </c>
      <c r="AC35" s="2938">
        <f>'LuzGrün(b)'!N41</f>
        <v>38.823749999999997</v>
      </c>
      <c r="AD35" s="980">
        <f>'LuzGrün(b)'!O41</f>
        <v>38.823749999999997</v>
      </c>
      <c r="AE35" s="982">
        <f>'LuzHeuTr(b)'!M41</f>
        <v>38.823749999999997</v>
      </c>
      <c r="AF35" s="2938">
        <f>'LuzHeuTr(b)'!N41</f>
        <v>38.823749999999997</v>
      </c>
      <c r="AG35" s="980">
        <f>'LuzHeuTr(b)'!O41</f>
        <v>38.823749999999997</v>
      </c>
      <c r="AH35" s="982">
        <f>'Silomais(b)'!M41</f>
        <v>38.823749999999997</v>
      </c>
      <c r="AI35" s="2938">
        <f>'Silomais(b)'!N41</f>
        <v>38.823749999999997</v>
      </c>
      <c r="AJ35" s="980">
        <f>'Silomais(b)'!O41</f>
        <v>38.823749999999997</v>
      </c>
      <c r="AK35" s="982">
        <f>'GPS G-E(b)'!M41</f>
        <v>38.823749999999997</v>
      </c>
      <c r="AL35" s="2938">
        <f>'GPS G-E(b)'!N41</f>
        <v>38.823749999999997</v>
      </c>
      <c r="AM35" s="980">
        <f>'GPS G-E(b)'!O41</f>
        <v>38.823749999999997</v>
      </c>
      <c r="AN35" s="982">
        <f>'Zwf(b)'!M41</f>
        <v>0</v>
      </c>
      <c r="AO35" s="2938">
        <f>'Zwf(b)'!N41</f>
        <v>0</v>
      </c>
      <c r="AP35" s="980">
        <f>'Zwf(b)'!O41</f>
        <v>0</v>
      </c>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row>
    <row r="36" spans="1:99" s="163" customFormat="1" ht="17.350000000000001" customHeight="1" x14ac:dyDescent="0.2">
      <c r="A36" s="737"/>
      <c r="B36" s="1677" t="s">
        <v>439</v>
      </c>
      <c r="C36" s="1888"/>
      <c r="D36" s="1646" t="s">
        <v>154</v>
      </c>
      <c r="E36" s="981">
        <f>'G3(b)'!$M$43</f>
        <v>80</v>
      </c>
      <c r="F36" s="2826">
        <f>'G4(b)'!$M$43</f>
        <v>170</v>
      </c>
      <c r="G36" s="982">
        <f>'GS3(b)'!$M$43</f>
        <v>80</v>
      </c>
      <c r="H36" s="2862">
        <f>'GS4(b)'!$M$43</f>
        <v>170</v>
      </c>
      <c r="I36" s="979" t="e">
        <f>#REF!</f>
        <v>#REF!</v>
      </c>
      <c r="J36" s="983" t="e">
        <f>#REF!</f>
        <v>#REF!</v>
      </c>
      <c r="K36" s="983">
        <f>'H2(b)'!$M$43</f>
        <v>80</v>
      </c>
      <c r="L36" s="981">
        <f>'H3(b)'!$M$43</f>
        <v>80</v>
      </c>
      <c r="M36" s="2826">
        <f>'HTr.4(b)'!$M$43</f>
        <v>170</v>
      </c>
      <c r="N36" s="982">
        <f>'Stw.(b)'!$M$43</f>
        <v>80</v>
      </c>
      <c r="O36" s="979">
        <f>'Umw.(b)'!$M$43</f>
        <v>80</v>
      </c>
      <c r="P36" s="979">
        <f>'Porw.(b)'!$M$43</f>
        <v>170</v>
      </c>
      <c r="Q36" s="980">
        <f>'G3(b)'!$M$43</f>
        <v>80</v>
      </c>
      <c r="R36"/>
      <c r="S36" s="982">
        <f>'KGGrün(b)'!M42</f>
        <v>220</v>
      </c>
      <c r="T36" s="2938">
        <f>'KGGrün(b)'!N42</f>
        <v>270</v>
      </c>
      <c r="U36" s="980">
        <f>'KGGrün(b)'!O42</f>
        <v>320</v>
      </c>
      <c r="V36" s="982">
        <f>'KSilo(b)'!M42</f>
        <v>220</v>
      </c>
      <c r="W36" s="2938">
        <f>'KSilo(b)'!N42</f>
        <v>270</v>
      </c>
      <c r="X36" s="980">
        <f>'KSilo(b)'!O42</f>
        <v>320</v>
      </c>
      <c r="Y36" s="982">
        <f>'KGCob(b)'!M42</f>
        <v>220</v>
      </c>
      <c r="Z36" s="2938">
        <f>'KGCob(b)'!N42</f>
        <v>270</v>
      </c>
      <c r="AA36" s="980">
        <f>'KGCob(b)'!O42</f>
        <v>320</v>
      </c>
      <c r="AB36" s="982">
        <f>'LuzGrün(b)'!M42</f>
        <v>220</v>
      </c>
      <c r="AC36" s="2938">
        <f>'LuzGrün(b)'!N42</f>
        <v>270</v>
      </c>
      <c r="AD36" s="980">
        <f>'LuzGrün(b)'!O42</f>
        <v>320</v>
      </c>
      <c r="AE36" s="982">
        <f>'LuzHeuTr(b)'!M42</f>
        <v>220</v>
      </c>
      <c r="AF36" s="2938">
        <f>'LuzHeuTr(b)'!N42</f>
        <v>270</v>
      </c>
      <c r="AG36" s="980">
        <f>'LuzHeuTr(b)'!O42</f>
        <v>320</v>
      </c>
      <c r="AH36" s="982">
        <f>'Silomais(b)'!M42</f>
        <v>220</v>
      </c>
      <c r="AI36" s="2938">
        <f>'Silomais(b)'!N42</f>
        <v>270</v>
      </c>
      <c r="AJ36" s="980">
        <f>'Silomais(b)'!O42</f>
        <v>320</v>
      </c>
      <c r="AK36" s="982">
        <f>'GPS G-E(b)'!M42</f>
        <v>220</v>
      </c>
      <c r="AL36" s="2938">
        <f>'GPS G-E(b)'!N42</f>
        <v>270</v>
      </c>
      <c r="AM36" s="980">
        <f>'GPS G-E(b)'!O42</f>
        <v>320</v>
      </c>
      <c r="AN36" s="982">
        <f>'Zwf(b)'!M42</f>
        <v>0</v>
      </c>
      <c r="AO36" s="2938">
        <f>'Zwf(b)'!N42</f>
        <v>0</v>
      </c>
      <c r="AP36" s="980">
        <f>'Zwf(b)'!O42</f>
        <v>0</v>
      </c>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row>
    <row r="37" spans="1:99" s="163" customFormat="1" ht="17.350000000000001" customHeight="1" x14ac:dyDescent="0.2">
      <c r="A37" s="737"/>
      <c r="B37" s="1677" t="s">
        <v>408</v>
      </c>
      <c r="C37" s="1888"/>
      <c r="D37" s="1651" t="s">
        <v>154</v>
      </c>
      <c r="E37" s="981">
        <f>'G3(b)'!$M$44</f>
        <v>124.95</v>
      </c>
      <c r="F37" s="2826">
        <f>'G4(b)'!$M$44</f>
        <v>124.95</v>
      </c>
      <c r="G37" s="982">
        <f>'GS3(b)'!$M$44</f>
        <v>124.95</v>
      </c>
      <c r="H37" s="2862">
        <f>'GS4(b)'!$M$44</f>
        <v>124.95</v>
      </c>
      <c r="I37" s="979" t="e">
        <f>#REF!</f>
        <v>#REF!</v>
      </c>
      <c r="J37" s="983" t="e">
        <f>#REF!</f>
        <v>#REF!</v>
      </c>
      <c r="K37" s="983">
        <f>'H2(b)'!$M$44</f>
        <v>124.95</v>
      </c>
      <c r="L37" s="981">
        <f>'H3(b)'!$M$44</f>
        <v>124.95</v>
      </c>
      <c r="M37" s="2826">
        <f>'HTr.4(b)'!$M$44</f>
        <v>124.95</v>
      </c>
      <c r="N37" s="982">
        <f>'Stw.(b)'!$M$44</f>
        <v>124.95</v>
      </c>
      <c r="O37" s="979">
        <f>'Umw.(b)'!$M$44</f>
        <v>124.95</v>
      </c>
      <c r="P37" s="979">
        <f>'Porw.(b)'!$M$44</f>
        <v>124.95</v>
      </c>
      <c r="Q37" s="980">
        <f>'G3(b)'!$M$44</f>
        <v>124.95</v>
      </c>
      <c r="R37"/>
      <c r="S37" s="982">
        <f>'KGGrün(b)'!M43</f>
        <v>124.95</v>
      </c>
      <c r="T37" s="2938">
        <f>'KGGrün(b)'!N43</f>
        <v>124.95</v>
      </c>
      <c r="U37" s="980">
        <f>'KGGrün(b)'!O43</f>
        <v>124.95</v>
      </c>
      <c r="V37" s="982">
        <f>'KSilo(b)'!M43</f>
        <v>124.95</v>
      </c>
      <c r="W37" s="2938">
        <f>'KSilo(b)'!N43</f>
        <v>124.95</v>
      </c>
      <c r="X37" s="980">
        <f>'KSilo(b)'!O43</f>
        <v>124.95</v>
      </c>
      <c r="Y37" s="982">
        <f>'KGCob(b)'!M43</f>
        <v>124.95</v>
      </c>
      <c r="Z37" s="2938">
        <f>'KGCob(b)'!N43</f>
        <v>124.95</v>
      </c>
      <c r="AA37" s="980">
        <f>'KGCob(b)'!O43</f>
        <v>124.95</v>
      </c>
      <c r="AB37" s="982">
        <f>'LuzGrün(b)'!M43</f>
        <v>124.95</v>
      </c>
      <c r="AC37" s="2938">
        <f>'LuzGrün(b)'!N43</f>
        <v>124.95</v>
      </c>
      <c r="AD37" s="980">
        <f>'LuzGrün(b)'!O43</f>
        <v>124.95</v>
      </c>
      <c r="AE37" s="982">
        <f>'LuzHeuTr(b)'!M43</f>
        <v>124.95</v>
      </c>
      <c r="AF37" s="2938">
        <f>'LuzHeuTr(b)'!N43</f>
        <v>124.95</v>
      </c>
      <c r="AG37" s="980">
        <f>'LuzHeuTr(b)'!O43</f>
        <v>124.95</v>
      </c>
      <c r="AH37" s="982">
        <f>'Silomais(b)'!M43</f>
        <v>124.95</v>
      </c>
      <c r="AI37" s="2938">
        <f>'Silomais(b)'!N43</f>
        <v>124.95</v>
      </c>
      <c r="AJ37" s="980">
        <f>'Silomais(b)'!O43</f>
        <v>124.95</v>
      </c>
      <c r="AK37" s="982">
        <f>'GPS G-E(b)'!M43</f>
        <v>124.95</v>
      </c>
      <c r="AL37" s="2938">
        <f>'GPS G-E(b)'!N43</f>
        <v>124.95</v>
      </c>
      <c r="AM37" s="980">
        <f>'GPS G-E(b)'!O43</f>
        <v>124.95</v>
      </c>
      <c r="AN37" s="982">
        <f>'Zwf(b)'!M43</f>
        <v>0</v>
      </c>
      <c r="AO37" s="2938">
        <f>'Zwf(b)'!N43</f>
        <v>0</v>
      </c>
      <c r="AP37" s="980">
        <f>'Zwf(b)'!O43</f>
        <v>0</v>
      </c>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row>
    <row r="38" spans="1:99" s="1035" customFormat="1" ht="17" customHeight="1" x14ac:dyDescent="0.25">
      <c r="A38" s="265"/>
      <c r="B38" s="1682" t="s">
        <v>99</v>
      </c>
      <c r="C38" s="1898"/>
      <c r="D38" s="1870" t="s">
        <v>154</v>
      </c>
      <c r="E38" s="1871">
        <f>'G3(b)'!$M$45</f>
        <v>718.7522355303031</v>
      </c>
      <c r="F38" s="2840">
        <f>'G4(b)'!$M$45</f>
        <v>892.66463553030303</v>
      </c>
      <c r="G38" s="1874">
        <f>'GS3(b)'!$M$45</f>
        <v>754.18936568181823</v>
      </c>
      <c r="H38" s="2875">
        <f>'GS4(b)'!$M$45</f>
        <v>890.34415749999994</v>
      </c>
      <c r="I38" s="1875" t="e">
        <f>#REF!</f>
        <v>#REF!</v>
      </c>
      <c r="J38" s="1872" t="e">
        <f>#REF!</f>
        <v>#REF!</v>
      </c>
      <c r="K38" s="1872">
        <f>'H2(b)'!$M$45</f>
        <v>803.51146265480895</v>
      </c>
      <c r="L38" s="1871">
        <f>'H3(b)'!$M$45</f>
        <v>894.28653511034258</v>
      </c>
      <c r="M38" s="2840">
        <f>'HTr.4(b)'!$M$45</f>
        <v>1178.2629259837506</v>
      </c>
      <c r="N38" s="1874">
        <f>'Stw.(b)'!$M$45</f>
        <v>558.22460777777781</v>
      </c>
      <c r="O38" s="1875">
        <f>'Umw.(b)'!$M$45</f>
        <v>602.71388777777793</v>
      </c>
      <c r="P38" s="1875">
        <f>'Porw.(b)'!$M$45</f>
        <v>763.29560777777783</v>
      </c>
      <c r="Q38" s="1873">
        <f>'G3(b)'!$M$45</f>
        <v>718.7522355303031</v>
      </c>
      <c r="R38"/>
      <c r="S38" s="1874">
        <f>'KGGrün(b)'!M44</f>
        <v>1010.9852767803031</v>
      </c>
      <c r="T38" s="2950">
        <f>'KGGrün(b)'!N44</f>
        <v>1142.0332767803031</v>
      </c>
      <c r="U38" s="1873">
        <f>'KGGrün(b)'!O44</f>
        <v>1267.2072767803031</v>
      </c>
      <c r="V38" s="1874">
        <f>'KSilo(b)'!M44</f>
        <v>1064.7279498842317</v>
      </c>
      <c r="W38" s="2950">
        <f>'KSilo(b)'!N44</f>
        <v>1180.6369986931463</v>
      </c>
      <c r="X38" s="1873">
        <f>'KSilo(b)'!O44</f>
        <v>1296.5460475020611</v>
      </c>
      <c r="Y38" s="1874">
        <f>'KGCob(b)'!M44</f>
        <v>1094.9612165530302</v>
      </c>
      <c r="Z38" s="2950">
        <f>'KGCob(b)'!N44</f>
        <v>1213.3806384280304</v>
      </c>
      <c r="AA38" s="1873">
        <f>'KGCob(b)'!O44</f>
        <v>1331.8000603030302</v>
      </c>
      <c r="AB38" s="1874">
        <f>'LuzGrün(b)'!M44</f>
        <v>1029.3332767803031</v>
      </c>
      <c r="AC38" s="2950">
        <f>'LuzGrün(b)'!N44</f>
        <v>1165.4467767803033</v>
      </c>
      <c r="AD38" s="1873">
        <f>'LuzGrün(b)'!O44</f>
        <v>1267.2072767803031</v>
      </c>
      <c r="AE38" s="1874">
        <f>'LuzHeuTr(b)'!M44</f>
        <v>1190.3736388091281</v>
      </c>
      <c r="AF38" s="2950">
        <f>'LuzHeuTr(b)'!N44</f>
        <v>1354.8951753944939</v>
      </c>
      <c r="AG38" s="1873">
        <f>'LuzHeuTr(b)'!O44</f>
        <v>1519.4167119798597</v>
      </c>
      <c r="AH38" s="1874">
        <f>'Silomais(b)'!M44</f>
        <v>1042.4948206363638</v>
      </c>
      <c r="AI38" s="2950">
        <f>'Silomais(b)'!N44</f>
        <v>1130.4254266969697</v>
      </c>
      <c r="AJ38" s="1873">
        <f>'Silomais(b)'!O44</f>
        <v>1256.2866388181819</v>
      </c>
      <c r="AK38" s="1874">
        <f>'GPS G-E(b)'!M44</f>
        <v>880.1387347014653</v>
      </c>
      <c r="AL38" s="2950">
        <f>'GPS G-E(b)'!N44</f>
        <v>974.49311244871797</v>
      </c>
      <c r="AM38" s="1873">
        <f>'GPS G-E(b)'!O44</f>
        <v>1068.8474901959707</v>
      </c>
      <c r="AN38" s="1874">
        <f>'Zwf(b)'!M44</f>
        <v>192.26565555555553</v>
      </c>
      <c r="AO38" s="2950">
        <f>'Zwf(b)'!N44</f>
        <v>215.2217</v>
      </c>
      <c r="AP38" s="1873">
        <f>'Zwf(b)'!O44</f>
        <v>238.17774444444444</v>
      </c>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row>
    <row r="39" spans="1:99" s="163" customFormat="1" ht="4.95" customHeight="1" x14ac:dyDescent="0.2">
      <c r="A39" s="1690"/>
      <c r="B39" s="1943"/>
      <c r="C39" s="1876"/>
      <c r="D39" s="1747"/>
      <c r="E39" s="1748"/>
      <c r="F39" s="2841"/>
      <c r="G39" s="2876"/>
      <c r="H39" s="1936"/>
      <c r="I39" s="1940"/>
      <c r="J39" s="1940"/>
      <c r="K39" s="2856"/>
      <c r="L39" s="1748"/>
      <c r="M39" s="2841"/>
      <c r="N39" s="1957"/>
      <c r="O39" s="1748"/>
      <c r="P39" s="1748"/>
      <c r="Q39" s="1936"/>
      <c r="R39"/>
      <c r="S39" s="1957"/>
      <c r="T39" s="1748"/>
      <c r="U39" s="1748"/>
      <c r="V39" s="1957"/>
      <c r="W39" s="1748"/>
      <c r="X39" s="1748"/>
      <c r="Y39" s="1957"/>
      <c r="Z39" s="1748"/>
      <c r="AA39" s="1748"/>
      <c r="AB39" s="1957"/>
      <c r="AC39" s="1748"/>
      <c r="AD39" s="1748"/>
      <c r="AE39" s="1957"/>
      <c r="AF39" s="1748"/>
      <c r="AG39" s="1748"/>
      <c r="AH39" s="1957"/>
      <c r="AI39" s="1748"/>
      <c r="AJ39" s="1748"/>
      <c r="AK39" s="1957"/>
      <c r="AL39" s="1748"/>
      <c r="AM39" s="1748"/>
      <c r="AN39" s="1957"/>
      <c r="AO39" s="1748"/>
      <c r="AP39" s="1748"/>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row>
    <row r="40" spans="1:99" s="763" customFormat="1" ht="17.350000000000001" customHeight="1" x14ac:dyDescent="0.3">
      <c r="A40" s="215"/>
      <c r="B40" s="2178" t="s">
        <v>555</v>
      </c>
      <c r="C40" s="1899"/>
      <c r="D40" s="1729" t="s">
        <v>154</v>
      </c>
      <c r="E40" s="1635">
        <f>'G3(b)'!$M$47</f>
        <v>0</v>
      </c>
      <c r="F40" s="2833">
        <f>'G4(b)'!$M$47</f>
        <v>0</v>
      </c>
      <c r="G40" s="1636">
        <f>'GS3(b)'!$M$47</f>
        <v>0</v>
      </c>
      <c r="H40" s="2869">
        <f>'GS4(b)'!$M$47</f>
        <v>0</v>
      </c>
      <c r="I40" s="1727" t="e">
        <f>#REF!</f>
        <v>#REF!</v>
      </c>
      <c r="J40" s="1634" t="e">
        <f>#REF!</f>
        <v>#REF!</v>
      </c>
      <c r="K40" s="1634">
        <f>'H2(b)'!$M$47</f>
        <v>0</v>
      </c>
      <c r="L40" s="1635">
        <f>'H3(b)'!$M$47</f>
        <v>0</v>
      </c>
      <c r="M40" s="2833">
        <f>'HTr.4(b)'!$M$47</f>
        <v>0</v>
      </c>
      <c r="N40" s="1636">
        <f>'Stw.(b)'!$M$47</f>
        <v>0</v>
      </c>
      <c r="O40" s="1727">
        <f>'Umw.(b)'!$M$47</f>
        <v>0</v>
      </c>
      <c r="P40" s="1727">
        <f>'Porw.(b)'!$M$47</f>
        <v>0</v>
      </c>
      <c r="Q40" s="1730">
        <f>'G3(b)'!$M$47</f>
        <v>0</v>
      </c>
      <c r="R40"/>
      <c r="S40" s="1636">
        <f>'KGGrün(b)'!M46</f>
        <v>0</v>
      </c>
      <c r="T40" s="2951">
        <f>'KGGrün(b)'!N46</f>
        <v>0</v>
      </c>
      <c r="U40" s="1730">
        <f>'KGGrün(b)'!O46</f>
        <v>0</v>
      </c>
      <c r="V40" s="1636">
        <f>'KSilo(b)'!M46</f>
        <v>0</v>
      </c>
      <c r="W40" s="2951">
        <f>'KSilo(b)'!N46</f>
        <v>0</v>
      </c>
      <c r="X40" s="1730">
        <f>'KSilo(b)'!O46</f>
        <v>0</v>
      </c>
      <c r="Y40" s="1636">
        <f>'KGCob(b)'!M46</f>
        <v>0</v>
      </c>
      <c r="Z40" s="2951">
        <f>'KGCob(b)'!N46</f>
        <v>0</v>
      </c>
      <c r="AA40" s="1730">
        <f>'KGCob(b)'!O46</f>
        <v>0</v>
      </c>
      <c r="AB40" s="1636">
        <f>'LuzGrün(b)'!M46</f>
        <v>0</v>
      </c>
      <c r="AC40" s="2951">
        <f>'LuzGrün(b)'!N46</f>
        <v>0</v>
      </c>
      <c r="AD40" s="1730">
        <f>'LuzGrün(b)'!O46</f>
        <v>0</v>
      </c>
      <c r="AE40" s="1636">
        <f>'LuzHeuTr(b)'!M46</f>
        <v>0</v>
      </c>
      <c r="AF40" s="2951">
        <f>'LuzHeuTr(b)'!N46</f>
        <v>0</v>
      </c>
      <c r="AG40" s="1730">
        <f>'LuzHeuTr(b)'!O46</f>
        <v>0</v>
      </c>
      <c r="AH40" s="1636">
        <f>'Silomais(b)'!M46</f>
        <v>0</v>
      </c>
      <c r="AI40" s="2951">
        <f>'Silomais(b)'!N46</f>
        <v>0</v>
      </c>
      <c r="AJ40" s="1730">
        <f>'Silomais(b)'!O46</f>
        <v>0</v>
      </c>
      <c r="AK40" s="1636">
        <f>'GPS G-E(b)'!M46</f>
        <v>0</v>
      </c>
      <c r="AL40" s="2951">
        <f>'GPS G-E(b)'!N46</f>
        <v>0</v>
      </c>
      <c r="AM40" s="1730">
        <f>'GPS G-E(b)'!O46</f>
        <v>0</v>
      </c>
      <c r="AN40" s="1636">
        <f>'Zwf(b)'!M46</f>
        <v>0</v>
      </c>
      <c r="AO40" s="2951">
        <f>'Zwf(b)'!N46</f>
        <v>0</v>
      </c>
      <c r="AP40" s="1730">
        <f>'Zwf(b)'!O46</f>
        <v>0</v>
      </c>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row>
    <row r="41" spans="1:99" s="763" customFormat="1" ht="17.350000000000001" customHeight="1" x14ac:dyDescent="0.3">
      <c r="A41" s="215"/>
      <c r="B41" s="1728" t="s">
        <v>320</v>
      </c>
      <c r="C41" s="1899"/>
      <c r="D41" s="1729" t="s">
        <v>154</v>
      </c>
      <c r="E41" s="1635">
        <f>'G3(b)'!$M$48</f>
        <v>1595.5490141150076</v>
      </c>
      <c r="F41" s="2833">
        <f>'G4(b)'!$M$48</f>
        <v>2194.369691674628</v>
      </c>
      <c r="G41" s="1636">
        <f>'GS3(b)'!$M$48</f>
        <v>1727.8484530266805</v>
      </c>
      <c r="H41" s="2869">
        <f>'GS4(b)'!$M$48</f>
        <v>2280.8830833952798</v>
      </c>
      <c r="I41" s="1727" t="e">
        <f>#REF!</f>
        <v>#REF!</v>
      </c>
      <c r="J41" s="1634" t="e">
        <f>#REF!</f>
        <v>#REF!</v>
      </c>
      <c r="K41" s="1634">
        <f>'H2(b)'!$M$48</f>
        <v>1418.9248186425446</v>
      </c>
      <c r="L41" s="1635">
        <f>'H3(b)'!$M$48</f>
        <v>1889.6126904772286</v>
      </c>
      <c r="M41" s="2833">
        <f>'HTr.4(b)'!$M$48</f>
        <v>2845.7669651726692</v>
      </c>
      <c r="N41" s="1636">
        <f>'Stw.(b)'!$M$48</f>
        <v>796.02077589077783</v>
      </c>
      <c r="O41" s="1727">
        <f>'Umw.(b)'!$M$48</f>
        <v>888.31648380607157</v>
      </c>
      <c r="P41" s="1727">
        <f>'Porw.(b)'!$M$48</f>
        <v>1325.9350570445677</v>
      </c>
      <c r="Q41" s="1730">
        <f>'G3(b)'!$M$48</f>
        <v>1595.5490141150076</v>
      </c>
      <c r="R41"/>
      <c r="S41" s="1636">
        <f>'KGGrün(b)'!M47</f>
        <v>2050.0341625601554</v>
      </c>
      <c r="T41" s="2951">
        <f>'KGGrün(b)'!N47</f>
        <v>2423.4966215214808</v>
      </c>
      <c r="U41" s="1730">
        <f>'KGGrün(b)'!O47</f>
        <v>2791.0850804828051</v>
      </c>
      <c r="V41" s="1636">
        <f>'KSilo(b)'!M47</f>
        <v>2276.8657942144455</v>
      </c>
      <c r="W41" s="2951">
        <f>'KSilo(b)'!N47</f>
        <v>2704.1937969130058</v>
      </c>
      <c r="X41" s="1730">
        <f>'KSilo(b)'!O47</f>
        <v>3131.5217996115671</v>
      </c>
      <c r="Y41" s="1636">
        <f>'KGCob(b)'!M47</f>
        <v>3767.5985619296248</v>
      </c>
      <c r="Z41" s="2951">
        <f>'KGCob(b)'!N47</f>
        <v>4529.4282506551408</v>
      </c>
      <c r="AA41" s="1730">
        <f>'KGCob(b)'!O47</f>
        <v>5291.2579393806582</v>
      </c>
      <c r="AB41" s="1636">
        <f>'LuzGrün(b)'!M47</f>
        <v>1694.0168010676557</v>
      </c>
      <c r="AC41" s="2951">
        <f>'LuzGrün(b)'!N47</f>
        <v>1999.5831688439807</v>
      </c>
      <c r="AD41" s="1730">
        <f>'LuzGrün(b)'!O47</f>
        <v>2270.7965366203052</v>
      </c>
      <c r="AE41" s="1636">
        <f>'LuzHeuTr(b)'!M47</f>
        <v>2141.1253247316163</v>
      </c>
      <c r="AF41" s="2951">
        <f>'LuzHeuTr(b)'!N47</f>
        <v>2570.4557829716859</v>
      </c>
      <c r="AG41" s="1730">
        <f>'LuzHeuTr(b)'!O47</f>
        <v>2999.7862412117556</v>
      </c>
      <c r="AH41" s="1636">
        <f>'Silomais(b)'!M47</f>
        <v>2663.9185356688699</v>
      </c>
      <c r="AI41" s="2951">
        <f>'Silomais(b)'!N47</f>
        <v>2947.1700936388506</v>
      </c>
      <c r="AJ41" s="1730">
        <f>'Silomais(b)'!O47</f>
        <v>3442.587281078811</v>
      </c>
      <c r="AK41" s="1636">
        <f>'GPS G-E(b)'!M47</f>
        <v>1641.1540970299388</v>
      </c>
      <c r="AL41" s="2951">
        <f>'GPS G-E(b)'!N47</f>
        <v>1847.767991339116</v>
      </c>
      <c r="AM41" s="1730">
        <f>'GPS G-E(b)'!O47</f>
        <v>2054.3818856482931</v>
      </c>
      <c r="AN41" s="1636">
        <f>'Zwf(b)'!M47</f>
        <v>836.50655435931969</v>
      </c>
      <c r="AO41" s="2951">
        <f>'Zwf(b)'!N47</f>
        <v>931.81925591653612</v>
      </c>
      <c r="AP41" s="1730">
        <f>'Zwf(b)'!O47</f>
        <v>1027.1319574737524</v>
      </c>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row>
    <row r="42" spans="1:99" s="1996" customFormat="1" ht="19.899999999999999" customHeight="1" x14ac:dyDescent="0.3">
      <c r="A42" s="1987"/>
      <c r="B42" s="1988" t="s">
        <v>602</v>
      </c>
      <c r="C42" s="1989"/>
      <c r="D42" s="1990" t="s">
        <v>154</v>
      </c>
      <c r="E42" s="1991">
        <f>'G3(b)'!$M$49</f>
        <v>-1595.5490141150076</v>
      </c>
      <c r="F42" s="2842">
        <f>'G4(b)'!$M$49</f>
        <v>-2194.369691674628</v>
      </c>
      <c r="G42" s="1994">
        <f>'GS3(b)'!$M$49</f>
        <v>-1727.8484530266805</v>
      </c>
      <c r="H42" s="2877">
        <f>'GS4(b)'!$M$49</f>
        <v>-2280.8830833952798</v>
      </c>
      <c r="I42" s="1995" t="e">
        <f>#REF!</f>
        <v>#REF!</v>
      </c>
      <c r="J42" s="1992" t="e">
        <f>#REF!</f>
        <v>#REF!</v>
      </c>
      <c r="K42" s="1992">
        <f>'H2(b)'!$M$49</f>
        <v>-1418.9248186425446</v>
      </c>
      <c r="L42" s="1991">
        <f>'H3(b)'!$M$49</f>
        <v>-1889.6126904772286</v>
      </c>
      <c r="M42" s="2842">
        <f>'HTr.4(b)'!$M$49</f>
        <v>-2845.7669651726692</v>
      </c>
      <c r="N42" s="1994">
        <f>'Stw.(b)'!$M$49</f>
        <v>-796.02077589077783</v>
      </c>
      <c r="O42" s="1995">
        <f>'Umw.(b)'!$M$49</f>
        <v>-888.31648380607157</v>
      </c>
      <c r="P42" s="1995">
        <f>'Porw.(b)'!$M$49</f>
        <v>-1325.9350570445677</v>
      </c>
      <c r="Q42" s="1993">
        <f>'G3(b)'!$M$49</f>
        <v>-1595.5490141150076</v>
      </c>
      <c r="R42"/>
      <c r="S42" s="1994">
        <f>'KGGrün(b)'!M48</f>
        <v>-2050.0341625601554</v>
      </c>
      <c r="T42" s="2952">
        <f>'KGGrün(b)'!N48</f>
        <v>-2423.4966215214808</v>
      </c>
      <c r="U42" s="1993">
        <f>'KGGrün(b)'!O48</f>
        <v>-2791.0850804828051</v>
      </c>
      <c r="V42" s="1994">
        <f>'KSilo(b)'!M48</f>
        <v>-2276.8657942144455</v>
      </c>
      <c r="W42" s="2952">
        <f>'KSilo(b)'!N48</f>
        <v>-2704.1937969130058</v>
      </c>
      <c r="X42" s="1993">
        <f>'KSilo(b)'!O48</f>
        <v>-3131.5217996115671</v>
      </c>
      <c r="Y42" s="1994">
        <f>'KGCob(b)'!M48</f>
        <v>-3767.5985619296248</v>
      </c>
      <c r="Z42" s="2952">
        <f>'KGCob(b)'!N48</f>
        <v>-4529.4282506551408</v>
      </c>
      <c r="AA42" s="1993">
        <f>'KGCob(b)'!O48</f>
        <v>-5291.2579393806582</v>
      </c>
      <c r="AB42" s="1994">
        <f>'LuzGrün(b)'!M48</f>
        <v>-1694.0168010676557</v>
      </c>
      <c r="AC42" s="2952">
        <f>'LuzGrün(b)'!N48</f>
        <v>-1999.5831688439807</v>
      </c>
      <c r="AD42" s="1993">
        <f>'LuzGrün(b)'!O48</f>
        <v>-2270.7965366203052</v>
      </c>
      <c r="AE42" s="1994">
        <f>'LuzHeuTr(b)'!M48</f>
        <v>-2141.1253247316163</v>
      </c>
      <c r="AF42" s="2952">
        <f>'LuzHeuTr(b)'!N48</f>
        <v>-2570.4557829716859</v>
      </c>
      <c r="AG42" s="1993">
        <f>'LuzHeuTr(b)'!O48</f>
        <v>-2999.7862412117556</v>
      </c>
      <c r="AH42" s="1994">
        <f>'Silomais(b)'!M48</f>
        <v>-2663.9185356688699</v>
      </c>
      <c r="AI42" s="2952">
        <f>'Silomais(b)'!N48</f>
        <v>-2947.1700936388506</v>
      </c>
      <c r="AJ42" s="1993">
        <f>'Silomais(b)'!O48</f>
        <v>-3442.587281078811</v>
      </c>
      <c r="AK42" s="1994">
        <f>'GPS G-E(b)'!M48</f>
        <v>-1641.1540970299388</v>
      </c>
      <c r="AL42" s="2952">
        <f>'GPS G-E(b)'!N48</f>
        <v>-1847.767991339116</v>
      </c>
      <c r="AM42" s="1993">
        <f>'GPS G-E(b)'!O48</f>
        <v>-2054.3818856482931</v>
      </c>
      <c r="AN42" s="1994">
        <f>'Zwf(b)'!M48</f>
        <v>-836.50655435931969</v>
      </c>
      <c r="AO42" s="2952">
        <f>'Zwf(b)'!N48</f>
        <v>-931.81925591653612</v>
      </c>
      <c r="AP42" s="1993">
        <f>'Zwf(b)'!O48</f>
        <v>-1027.1319574737524</v>
      </c>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row>
    <row r="43" spans="1:99" s="763" customFormat="1" ht="17.350000000000001" hidden="1" customHeight="1" x14ac:dyDescent="0.3">
      <c r="A43" s="1953"/>
      <c r="B43" s="2379" t="s">
        <v>603</v>
      </c>
      <c r="C43" s="2380"/>
      <c r="D43" s="2381" t="s">
        <v>154</v>
      </c>
      <c r="E43" s="2382">
        <f>'G3(b)'!$M$51</f>
        <v>560</v>
      </c>
      <c r="F43" s="2843">
        <f>'G4(b)'!$M$51</f>
        <v>540</v>
      </c>
      <c r="G43" s="2384">
        <f>'GS3(b)'!$M$51</f>
        <v>560</v>
      </c>
      <c r="H43" s="2878">
        <f>'GS4(b)'!$M$51</f>
        <v>540</v>
      </c>
      <c r="I43" s="2385" t="e">
        <f>#REF!</f>
        <v>#REF!</v>
      </c>
      <c r="J43" s="2383" t="e">
        <f>#REF!</f>
        <v>#REF!</v>
      </c>
      <c r="K43" s="2383">
        <f>'H2(b)'!$M$51</f>
        <v>580</v>
      </c>
      <c r="L43" s="2382">
        <f>'H3(b)'!$M$51</f>
        <v>560</v>
      </c>
      <c r="M43" s="2843">
        <f>'HTr.4(b)'!$M$51</f>
        <v>540</v>
      </c>
      <c r="N43" s="2384">
        <f>'Stw.(b)'!$M$51</f>
        <v>580</v>
      </c>
      <c r="O43" s="2385">
        <f>'Umw.(b)'!$M$51</f>
        <v>560</v>
      </c>
      <c r="P43" s="2385">
        <f>'Porw.(b)'!$M$51</f>
        <v>560</v>
      </c>
      <c r="Q43" s="2386">
        <f>'G3(b)'!$M$51</f>
        <v>560</v>
      </c>
      <c r="R43" s="405"/>
      <c r="S43" s="2384">
        <f>'KGGrün(b)'!M49</f>
        <v>500</v>
      </c>
      <c r="T43" s="2953">
        <f>'KGGrün(b)'!N49</f>
        <v>500</v>
      </c>
      <c r="U43" s="2386">
        <f>'KGGrün(b)'!O49</f>
        <v>500</v>
      </c>
      <c r="V43" s="2384">
        <f>'KSilo(b)'!M49</f>
        <v>500</v>
      </c>
      <c r="W43" s="2953">
        <f>'KSilo(b)'!N49</f>
        <v>500</v>
      </c>
      <c r="X43" s="2386">
        <f>'KSilo(b)'!O49</f>
        <v>500</v>
      </c>
      <c r="Y43" s="2384">
        <f>'KGCob(b)'!M49</f>
        <v>500</v>
      </c>
      <c r="Z43" s="2953">
        <f>'KGCob(b)'!N49</f>
        <v>500</v>
      </c>
      <c r="AA43" s="2386">
        <f>'KGCob(b)'!O49</f>
        <v>500</v>
      </c>
      <c r="AB43" s="2384">
        <f>'LuzGrün(b)'!M49</f>
        <v>500</v>
      </c>
      <c r="AC43" s="2953">
        <f>'LuzGrün(b)'!N49</f>
        <v>500</v>
      </c>
      <c r="AD43" s="2386">
        <f>'LuzGrün(b)'!O49</f>
        <v>500</v>
      </c>
      <c r="AE43" s="2384">
        <f>'LuzHeuTr(b)'!M49</f>
        <v>500</v>
      </c>
      <c r="AF43" s="2953">
        <f>'LuzHeuTr(b)'!N49</f>
        <v>500</v>
      </c>
      <c r="AG43" s="2386">
        <f>'LuzHeuTr(b)'!O49</f>
        <v>500</v>
      </c>
      <c r="AH43" s="2384">
        <f>'Silomais(b)'!M49</f>
        <v>500</v>
      </c>
      <c r="AI43" s="2953">
        <f>'Silomais(b)'!N49</f>
        <v>500</v>
      </c>
      <c r="AJ43" s="2386">
        <f>'Silomais(b)'!O49</f>
        <v>500</v>
      </c>
      <c r="AK43" s="2384">
        <f>'GPS G-E(b)'!M49</f>
        <v>500</v>
      </c>
      <c r="AL43" s="2953">
        <f>'GPS G-E(b)'!N49</f>
        <v>500</v>
      </c>
      <c r="AM43" s="2386">
        <f>'GPS G-E(b)'!O49</f>
        <v>500</v>
      </c>
      <c r="AN43" s="2384">
        <f>'Zwf(b)'!M49</f>
        <v>0</v>
      </c>
      <c r="AO43" s="2953">
        <f>'Zwf(b)'!N49</f>
        <v>0</v>
      </c>
      <c r="AP43" s="2386">
        <f>'Zwf(b)'!O49</f>
        <v>0</v>
      </c>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row>
    <row r="44" spans="1:99" s="1996" customFormat="1" ht="22.95" customHeight="1" thickBot="1" x14ac:dyDescent="0.35">
      <c r="A44" s="1987"/>
      <c r="B44" s="1997" t="s">
        <v>604</v>
      </c>
      <c r="C44" s="1998"/>
      <c r="D44" s="1999" t="s">
        <v>154</v>
      </c>
      <c r="E44" s="2000">
        <f>'G3(b)'!$M$52</f>
        <v>-1035.5490141150076</v>
      </c>
      <c r="F44" s="2844">
        <f>'G4(b)'!$M$52</f>
        <v>-1654.369691674628</v>
      </c>
      <c r="G44" s="2003">
        <f>'GS3(b)'!$M$52</f>
        <v>-1167.8484530266805</v>
      </c>
      <c r="H44" s="2879">
        <f>'GS4(b)'!$M$52</f>
        <v>-1740.8830833952798</v>
      </c>
      <c r="I44" s="2004" t="e">
        <f>#REF!</f>
        <v>#REF!</v>
      </c>
      <c r="J44" s="2001" t="e">
        <f>#REF!</f>
        <v>#REF!</v>
      </c>
      <c r="K44" s="2001">
        <f>'H2(b)'!$M$52</f>
        <v>-838.92481864254455</v>
      </c>
      <c r="L44" s="2000">
        <f>'H3(b)'!$M$52</f>
        <v>-1329.6126904772286</v>
      </c>
      <c r="M44" s="2844">
        <f>'HTr.4(b)'!$M$52</f>
        <v>-2305.7669651726692</v>
      </c>
      <c r="N44" s="2003">
        <f>'Stw.(b)'!$M$52</f>
        <v>-216.02077589077783</v>
      </c>
      <c r="O44" s="2004">
        <f>'Umw.(b)'!$M$52</f>
        <v>-328.31648380607157</v>
      </c>
      <c r="P44" s="2004">
        <f>'Porw.(b)'!$M$52</f>
        <v>-765.93505704456766</v>
      </c>
      <c r="Q44" s="2002">
        <f>'G3(b)'!$M$52</f>
        <v>-1035.5490141150076</v>
      </c>
      <c r="R44" s="405"/>
      <c r="S44" s="2003">
        <f>'KGGrün(b)'!M50</f>
        <v>-1550.0341625601554</v>
      </c>
      <c r="T44" s="2954">
        <f>'KGGrün(b)'!N50</f>
        <v>-1923.4966215214808</v>
      </c>
      <c r="U44" s="2002">
        <f>'KGGrün(b)'!O50</f>
        <v>-2291.0850804828051</v>
      </c>
      <c r="V44" s="2003">
        <f>'KSilo(b)'!M50</f>
        <v>-1776.8657942144455</v>
      </c>
      <c r="W44" s="2954">
        <f>'KSilo(b)'!N50</f>
        <v>-2204.1937969130058</v>
      </c>
      <c r="X44" s="2002">
        <f>'KSilo(b)'!O50</f>
        <v>-2631.5217996115671</v>
      </c>
      <c r="Y44" s="2003">
        <f>'KGCob(b)'!M50</f>
        <v>-3267.5985619296248</v>
      </c>
      <c r="Z44" s="2954">
        <f>'KGCob(b)'!N50</f>
        <v>-4029.4282506551408</v>
      </c>
      <c r="AA44" s="2002">
        <f>'KGCob(b)'!O50</f>
        <v>-4791.2579393806582</v>
      </c>
      <c r="AB44" s="2003">
        <f>'LuzGrün(b)'!M50</f>
        <v>-1194.0168010676557</v>
      </c>
      <c r="AC44" s="2954">
        <f>'LuzGrün(b)'!N50</f>
        <v>-1499.5831688439807</v>
      </c>
      <c r="AD44" s="2002">
        <f>'LuzGrün(b)'!O50</f>
        <v>-1770.7965366203052</v>
      </c>
      <c r="AE44" s="2003">
        <f>'LuzHeuTr(b)'!M50</f>
        <v>-1641.1253247316163</v>
      </c>
      <c r="AF44" s="2954">
        <f>'LuzHeuTr(b)'!N50</f>
        <v>-2070.4557829716859</v>
      </c>
      <c r="AG44" s="2002">
        <f>'LuzHeuTr(b)'!O50</f>
        <v>-2499.7862412117556</v>
      </c>
      <c r="AH44" s="2003">
        <f>'Silomais(b)'!M50</f>
        <v>-2163.9185356688699</v>
      </c>
      <c r="AI44" s="2954">
        <f>'Silomais(b)'!N50</f>
        <v>-2447.1700936388506</v>
      </c>
      <c r="AJ44" s="2002">
        <f>'Silomais(b)'!O50</f>
        <v>-2942.587281078811</v>
      </c>
      <c r="AK44" s="2003">
        <f>'GPS G-E(b)'!M50</f>
        <v>-1141.1540970299388</v>
      </c>
      <c r="AL44" s="2954">
        <f>'GPS G-E(b)'!N50</f>
        <v>-1347.767991339116</v>
      </c>
      <c r="AM44" s="2002">
        <f>'GPS G-E(b)'!O50</f>
        <v>-1554.3818856482931</v>
      </c>
      <c r="AN44" s="2003">
        <f>'Zwf(b)'!M50</f>
        <v>-836.50655435931969</v>
      </c>
      <c r="AO44" s="2954">
        <f>'Zwf(b)'!N50</f>
        <v>-931.81925591653612</v>
      </c>
      <c r="AP44" s="2002">
        <f>'Zwf(b)'!O50</f>
        <v>-1027.1319574737524</v>
      </c>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row>
    <row r="45" spans="1:99" s="1996" customFormat="1" ht="21.25" customHeight="1" x14ac:dyDescent="0.3">
      <c r="A45" s="2005"/>
      <c r="B45" s="2006" t="s">
        <v>605</v>
      </c>
      <c r="C45" s="2007"/>
      <c r="D45" s="2008" t="s">
        <v>154</v>
      </c>
      <c r="E45" s="2009">
        <f>'G3(b)'!$M$55</f>
        <v>1035.5490141150076</v>
      </c>
      <c r="F45" s="2845">
        <f>'G4(b)'!$M$55</f>
        <v>1654.369691674628</v>
      </c>
      <c r="G45" s="2012">
        <f>'GS3(b)'!$M$55</f>
        <v>1167.8484530266805</v>
      </c>
      <c r="H45" s="2880">
        <f>'GS4(b)'!$M$55</f>
        <v>1740.8830833952798</v>
      </c>
      <c r="I45" s="2013" t="e">
        <f>#REF!</f>
        <v>#REF!</v>
      </c>
      <c r="J45" s="2010" t="e">
        <f>#REF!</f>
        <v>#REF!</v>
      </c>
      <c r="K45" s="2010">
        <f>'H2(b)'!$M$55</f>
        <v>838.92481864254455</v>
      </c>
      <c r="L45" s="2009">
        <f>'H3(b)'!$M$55</f>
        <v>1329.6126904772286</v>
      </c>
      <c r="M45" s="2845">
        <f>'HTr.4(b)'!$M$55</f>
        <v>2305.7669651726692</v>
      </c>
      <c r="N45" s="2012">
        <f>'Stw.(b)'!$M$55</f>
        <v>216.02077589077783</v>
      </c>
      <c r="O45" s="2013">
        <f>'Umw.(b)'!$M$55</f>
        <v>328.31648380607157</v>
      </c>
      <c r="P45" s="2013">
        <f>'Porw.(b)'!$M$55</f>
        <v>765.93505704456766</v>
      </c>
      <c r="Q45" s="2011">
        <f>'G3(b)'!$M$55</f>
        <v>1035.5490141150076</v>
      </c>
      <c r="R45" s="405"/>
      <c r="S45" s="2012">
        <f>'KGGrün(b)'!M52</f>
        <v>1550.0341625601554</v>
      </c>
      <c r="T45" s="2955">
        <f>'KGGrün(b)'!N52</f>
        <v>1923.4966215214808</v>
      </c>
      <c r="U45" s="2011">
        <f>'KGGrün(b)'!O52</f>
        <v>2291.0850804828051</v>
      </c>
      <c r="V45" s="2012">
        <f>'KSilo(b)'!M52</f>
        <v>1776.8657942144455</v>
      </c>
      <c r="W45" s="2955">
        <f>'KSilo(b)'!N52</f>
        <v>2204.1937969130058</v>
      </c>
      <c r="X45" s="2011">
        <f>'KSilo(b)'!O52</f>
        <v>2631.5217996115671</v>
      </c>
      <c r="Y45" s="2012">
        <f>'KGCob(b)'!M52</f>
        <v>3267.5985619296248</v>
      </c>
      <c r="Z45" s="2955">
        <f>'KGCob(b)'!N52</f>
        <v>4029.4282506551408</v>
      </c>
      <c r="AA45" s="2011">
        <f>'KGCob(b)'!O52</f>
        <v>4791.2579393806582</v>
      </c>
      <c r="AB45" s="2012">
        <f>'LuzGrün(b)'!M52</f>
        <v>1194.0168010676557</v>
      </c>
      <c r="AC45" s="2955">
        <f>'LuzGrün(b)'!N52</f>
        <v>1499.5831688439807</v>
      </c>
      <c r="AD45" s="2011">
        <f>'LuzGrün(b)'!O52</f>
        <v>1770.7965366203052</v>
      </c>
      <c r="AE45" s="2012">
        <f>'LuzHeuTr(b)'!M52</f>
        <v>1641.1253247316163</v>
      </c>
      <c r="AF45" s="2955">
        <f>'LuzHeuTr(b)'!N52</f>
        <v>2070.4557829716859</v>
      </c>
      <c r="AG45" s="2011">
        <f>'LuzHeuTr(b)'!O52</f>
        <v>2499.7862412117556</v>
      </c>
      <c r="AH45" s="2012">
        <f>'Silomais(b)'!M52</f>
        <v>2163.9185356688699</v>
      </c>
      <c r="AI45" s="2955">
        <f>'Silomais(b)'!N52</f>
        <v>2447.1700936388506</v>
      </c>
      <c r="AJ45" s="2011">
        <f>'Silomais(b)'!O52</f>
        <v>2942.587281078811</v>
      </c>
      <c r="AK45" s="2012">
        <f>'GPS G-E(b)'!M52</f>
        <v>1141.1540970299388</v>
      </c>
      <c r="AL45" s="2955">
        <f>'GPS G-E(b)'!N52</f>
        <v>1347.767991339116</v>
      </c>
      <c r="AM45" s="2011">
        <f>'GPS G-E(b)'!O52</f>
        <v>1554.3818856482931</v>
      </c>
      <c r="AN45" s="2012">
        <f>'Zwf(b)'!M52</f>
        <v>836.50655435931969</v>
      </c>
      <c r="AO45" s="2955">
        <f>'Zwf(b)'!N52</f>
        <v>931.81925591653612</v>
      </c>
      <c r="AP45" s="2011">
        <f>'Zwf(b)'!O52</f>
        <v>1027.1319574737524</v>
      </c>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row>
    <row r="46" spans="1:99" s="1146" customFormat="1" ht="17.350000000000001" customHeight="1" x14ac:dyDescent="0.3">
      <c r="A46" s="1032"/>
      <c r="B46" s="2179" t="s">
        <v>269</v>
      </c>
      <c r="C46" s="2387"/>
      <c r="D46" s="2388" t="s">
        <v>101</v>
      </c>
      <c r="E46" s="2389">
        <f>'G3(b)'!$M$56</f>
        <v>3.0186044136145971</v>
      </c>
      <c r="F46" s="2846">
        <f>'G4(b)'!$M$56</f>
        <v>3.9182440065978033</v>
      </c>
      <c r="G46" s="2881">
        <f>'GS3(b)'!$M$56</f>
        <v>7.5243381240672456</v>
      </c>
      <c r="H46" s="2882">
        <f>'GS4(b)'!$M$56</f>
        <v>9.1132815627653301</v>
      </c>
      <c r="I46" s="2392" t="e">
        <f>#REF!</f>
        <v>#REF!</v>
      </c>
      <c r="J46" s="2390" t="e">
        <f>#REF!</f>
        <v>#REF!</v>
      </c>
      <c r="K46" s="2857">
        <f>'H2(b)'!$M$56</f>
        <v>17.661575129316727</v>
      </c>
      <c r="L46" s="2389">
        <f>'H3(b)'!$M$56</f>
        <v>21.532189319469289</v>
      </c>
      <c r="M46" s="2846">
        <f>'HTr.4(b)'!$M$56</f>
        <v>29.439498775080185</v>
      </c>
      <c r="N46" s="2391">
        <f>'Stw.(b)'!$M$56</f>
        <v>1.1521108047508151</v>
      </c>
      <c r="O46" s="2392">
        <f>'Umw.(b)'!$M$56</f>
        <v>1.1996179215991076</v>
      </c>
      <c r="P46" s="2392">
        <f>'Porw.(b)'!$M$56</f>
        <v>1.8022001342225122</v>
      </c>
      <c r="Q46" s="2393">
        <f>'G3(b)'!$M$56</f>
        <v>3.0186044136145971</v>
      </c>
      <c r="R46" s="405"/>
      <c r="S46" s="2391">
        <f>'KGGrün(b)'!M53</f>
        <v>3.2632298159161168</v>
      </c>
      <c r="T46" s="2956">
        <f>'KGGrün(b)'!N53</f>
        <v>3.2395732572993361</v>
      </c>
      <c r="U46" s="2393">
        <f>'KGGrün(b)'!O53</f>
        <v>3.2155580076951651</v>
      </c>
      <c r="V46" s="2391">
        <f>'KSilo(b)'!M53</f>
        <v>10.72986590709206</v>
      </c>
      <c r="W46" s="2956">
        <f>'KSilo(b)'!N53</f>
        <v>10.352493678469566</v>
      </c>
      <c r="X46" s="2393">
        <f>'KSilo(b)'!O53</f>
        <v>10.112347714800707</v>
      </c>
      <c r="Y46" s="2391">
        <f>'KGCob(b)'!M53</f>
        <v>39.957047632291612</v>
      </c>
      <c r="Z46" s="2956">
        <f>'KGCob(b)'!N53</f>
        <v>39.418319843365509</v>
      </c>
      <c r="AA46" s="2393">
        <f>'KGCob(b)'!O53</f>
        <v>39.059167984081448</v>
      </c>
      <c r="AB46" s="2391">
        <f>'LuzGrün(b)'!M53</f>
        <v>3.3516261082600862</v>
      </c>
      <c r="AC46" s="2956">
        <f>'LuzGrün(b)'!N53</f>
        <v>3.1570171975662751</v>
      </c>
      <c r="AD46" s="2393">
        <f>'LuzGrün(b)'!O53</f>
        <v>2.9823941669394616</v>
      </c>
      <c r="AE46" s="2391">
        <f>'LuzHeuTr(b)'!M53</f>
        <v>27.512042480880897</v>
      </c>
      <c r="AF46" s="2956">
        <f>'LuzHeuTr(b)'!N53</f>
        <v>26.032046394088447</v>
      </c>
      <c r="AG46" s="2393">
        <f>'LuzHeuTr(b)'!O53</f>
        <v>25.144048742012981</v>
      </c>
      <c r="AH46" s="2391">
        <f>'Silomais(b)'!M53</f>
        <v>7.9723314472010989</v>
      </c>
      <c r="AI46" s="2956">
        <f>'Silomais(b)'!N53</f>
        <v>7.5132415155578745</v>
      </c>
      <c r="AJ46" s="2393">
        <f>'Silomais(b)'!O53</f>
        <v>6.7756943972209465</v>
      </c>
      <c r="AK46" s="2391">
        <f>'GPS G-E(b)'!M53</f>
        <v>9.3427820809468667</v>
      </c>
      <c r="AL46" s="2956">
        <f>'GPS G-E(b)'!N53</f>
        <v>7.8816841598778709</v>
      </c>
      <c r="AM46" s="2393">
        <f>'GPS G-E(b)'!O53</f>
        <v>7.069963092617316</v>
      </c>
      <c r="AN46" s="2391">
        <f>'Zwf(b)'!M53</f>
        <v>5.1956928842193761</v>
      </c>
      <c r="AO46" s="2956">
        <f>'Zwf(b)'!N53</f>
        <v>4.5015422991137015</v>
      </c>
      <c r="AP46" s="2393">
        <f>'Zwf(b)'!O53</f>
        <v>4.0598101085919076</v>
      </c>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row>
    <row r="47" spans="1:99" s="1146" customFormat="1" ht="17.350000000000001" customHeight="1" x14ac:dyDescent="0.3">
      <c r="A47" s="1032"/>
      <c r="B47" s="2395" t="s">
        <v>270</v>
      </c>
      <c r="C47" s="2396"/>
      <c r="D47" s="2388" t="s">
        <v>464</v>
      </c>
      <c r="E47" s="2394">
        <f>'G3(b)'!$M$57</f>
        <v>16.770024520081094</v>
      </c>
      <c r="F47" s="2847">
        <f>'G4(b)'!$M$57</f>
        <v>21.768022258876684</v>
      </c>
      <c r="G47" s="2391">
        <f>'GS3(b)'!$M$57</f>
        <v>20.336048983965529</v>
      </c>
      <c r="H47" s="2883">
        <f>'GS4(b)'!$M$57</f>
        <v>24.63049071017657</v>
      </c>
      <c r="I47" s="2392" t="e">
        <f>#REF!</f>
        <v>#REF!</v>
      </c>
      <c r="J47" s="2390" t="e">
        <f>#REF!</f>
        <v>#REF!</v>
      </c>
      <c r="K47" s="2390">
        <f>'H2(b)'!$M$57</f>
        <v>19.623972365907473</v>
      </c>
      <c r="L47" s="2394">
        <f>'H3(b)'!$M$57</f>
        <v>23.92465479941032</v>
      </c>
      <c r="M47" s="2847">
        <f>'HTr.4(b)'!$M$57</f>
        <v>32.710554194533536</v>
      </c>
      <c r="N47" s="2391">
        <f>'Stw.(b)'!$M$57</f>
        <v>5.7605540237540751</v>
      </c>
      <c r="O47" s="2392">
        <f>'Umw.(b)'!$M$57</f>
        <v>6.3137785347321467</v>
      </c>
      <c r="P47" s="2392">
        <f>'Porw.(b)'!$M$57</f>
        <v>10.012222967902845</v>
      </c>
      <c r="Q47" s="2393">
        <f>'G3(b)'!$M$57</f>
        <v>16.770024520081094</v>
      </c>
      <c r="R47" s="405"/>
      <c r="S47" s="2391">
        <f>'KGGrün(b)'!M54</f>
        <v>20.395186349475729</v>
      </c>
      <c r="T47" s="2956">
        <f>'KGGrün(b)'!N54</f>
        <v>20.247332858120853</v>
      </c>
      <c r="U47" s="2393">
        <f>'KGGrün(b)'!O54</f>
        <v>20.097237548094782</v>
      </c>
      <c r="V47" s="2391">
        <f>'KSilo(b)'!M54</f>
        <v>30.656759734548746</v>
      </c>
      <c r="W47" s="2956">
        <f>'KSilo(b)'!N54</f>
        <v>29.578553367055903</v>
      </c>
      <c r="X47" s="2393">
        <f>'KSilo(b)'!O54</f>
        <v>28.892422042287738</v>
      </c>
      <c r="Y47" s="2391">
        <f>'KGCob(b)'!M54</f>
        <v>44.396719591435122</v>
      </c>
      <c r="Z47" s="2956">
        <f>'KGCob(b)'!N54</f>
        <v>43.798133159295006</v>
      </c>
      <c r="AA47" s="2393">
        <f>'KGCob(b)'!O54</f>
        <v>43.399075537868278</v>
      </c>
      <c r="AB47" s="2391">
        <f>'LuzGrün(b)'!M54</f>
        <v>20.947663176625539</v>
      </c>
      <c r="AC47" s="2956">
        <f>'LuzGrün(b)'!N54</f>
        <v>19.731357484789221</v>
      </c>
      <c r="AD47" s="2393">
        <f>'LuzGrün(b)'!O54</f>
        <v>18.639963543371636</v>
      </c>
      <c r="AE47" s="2391">
        <f>'LuzHeuTr(b)'!M54</f>
        <v>31.990747070791741</v>
      </c>
      <c r="AF47" s="2956">
        <f>'LuzHeuTr(b)'!N54</f>
        <v>30.269821388474938</v>
      </c>
      <c r="AG47" s="2393">
        <f>'LuzHeuTr(b)'!O54</f>
        <v>29.23726597908486</v>
      </c>
      <c r="AH47" s="2391">
        <f>'Silomais(b)'!M54</f>
        <v>22.778089849145999</v>
      </c>
      <c r="AI47" s="2956">
        <f>'Silomais(b)'!N54</f>
        <v>21.466404330165357</v>
      </c>
      <c r="AJ47" s="2393">
        <f>'Silomais(b)'!O54</f>
        <v>19.359126849202703</v>
      </c>
      <c r="AK47" s="2391">
        <f>'GPS G-E(b)'!M54</f>
        <v>26.693663088419623</v>
      </c>
      <c r="AL47" s="2956">
        <f>'GPS G-E(b)'!N54</f>
        <v>22.519097599651058</v>
      </c>
      <c r="AM47" s="2393">
        <f>'GPS G-E(b)'!O54</f>
        <v>20.199894550335191</v>
      </c>
      <c r="AN47" s="2391">
        <f>'Zwf(b)'!M54</f>
        <v>28.864960467885425</v>
      </c>
      <c r="AO47" s="2956">
        <f>'Zwf(b)'!N54</f>
        <v>25.008568328409453</v>
      </c>
      <c r="AP47" s="2393">
        <f>'Zwf(b)'!O54</f>
        <v>22.554500603288371</v>
      </c>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row>
    <row r="48" spans="1:99" s="1146" customFormat="1" ht="17.350000000000001" customHeight="1" x14ac:dyDescent="0.3">
      <c r="A48" s="1033"/>
      <c r="B48" s="2397"/>
      <c r="C48" s="2398"/>
      <c r="D48" s="2399" t="s">
        <v>102</v>
      </c>
      <c r="E48" s="2400"/>
      <c r="F48" s="2848"/>
      <c r="G48" s="2404"/>
      <c r="H48" s="2884"/>
      <c r="I48" s="2392" t="e">
        <f>#REF!</f>
        <v>#REF!</v>
      </c>
      <c r="J48" s="2390" t="e">
        <f>#REF!</f>
        <v>#REF!</v>
      </c>
      <c r="K48" s="2401"/>
      <c r="L48" s="2400"/>
      <c r="M48" s="2848"/>
      <c r="N48" s="2404"/>
      <c r="O48" s="2402"/>
      <c r="P48" s="2402"/>
      <c r="Q48" s="2403"/>
      <c r="R48" s="405"/>
      <c r="S48" s="2391">
        <f>'KGGrün(b)'!M55</f>
        <v>0</v>
      </c>
      <c r="T48" s="2956">
        <f>'KGGrün(b)'!N55</f>
        <v>0</v>
      </c>
      <c r="U48" s="2393">
        <f>'KGGrün(b)'!O55</f>
        <v>0</v>
      </c>
      <c r="V48" s="2391">
        <f>'KSilo(b)'!M55</f>
        <v>69.74412839609839</v>
      </c>
      <c r="W48" s="2956">
        <f>'KSilo(b)'!N55</f>
        <v>67.291208910052163</v>
      </c>
      <c r="X48" s="2393">
        <f>'KSilo(b)'!O55</f>
        <v>65.730260146204586</v>
      </c>
      <c r="Y48" s="2391">
        <f>'KGCob(b)'!M55</f>
        <v>319.6563810583329</v>
      </c>
      <c r="Z48" s="2956">
        <f>'KGCob(b)'!N55</f>
        <v>315.34655874692407</v>
      </c>
      <c r="AA48" s="2393">
        <f>'KGCob(b)'!O55</f>
        <v>312.47334387265158</v>
      </c>
      <c r="AB48" s="2391">
        <f>'LuzGrün(b)'!M55</f>
        <v>0</v>
      </c>
      <c r="AC48" s="2956">
        <f>'LuzGrün(b)'!N55</f>
        <v>0</v>
      </c>
      <c r="AD48" s="2393">
        <f>'LuzGrün(b)'!O55</f>
        <v>0</v>
      </c>
      <c r="AE48" s="2391">
        <f>'LuzHeuTr(b)'!M55</f>
        <v>49.521676465585607</v>
      </c>
      <c r="AF48" s="2956">
        <f>'LuzHeuTr(b)'!N55</f>
        <v>46.857683509359198</v>
      </c>
      <c r="AG48" s="2393">
        <f>'LuzHeuTr(b)'!O55</f>
        <v>45.25928773562336</v>
      </c>
      <c r="AH48" s="2391">
        <f>'Silomais(b)'!M55</f>
        <v>55.806320130407698</v>
      </c>
      <c r="AI48" s="2956">
        <f>'Silomais(b)'!N55</f>
        <v>52.592690608905123</v>
      </c>
      <c r="AJ48" s="2393">
        <f>'Silomais(b)'!O55</f>
        <v>47.429860780546626</v>
      </c>
      <c r="AK48" s="2391">
        <f>'GPS G-E(b)'!M55</f>
        <v>60.728083526154627</v>
      </c>
      <c r="AL48" s="2956">
        <f>'GPS G-E(b)'!N55</f>
        <v>51.230947039206157</v>
      </c>
      <c r="AM48" s="2393">
        <f>'GPS G-E(b)'!O55</f>
        <v>45.95476010201255</v>
      </c>
      <c r="AN48" s="2391">
        <f>'Zwf(b)'!M55</f>
        <v>36.369850189535633</v>
      </c>
      <c r="AO48" s="2956">
        <f>'Zwf(b)'!N55</f>
        <v>31.510796093795914</v>
      </c>
      <c r="AP48" s="2393">
        <f>'Zwf(b)'!O55</f>
        <v>28.41867076014335</v>
      </c>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row>
    <row r="49" spans="1:99" s="2101" customFormat="1" ht="17.350000000000001" customHeight="1" x14ac:dyDescent="0.2">
      <c r="A49" s="2100"/>
      <c r="B49" s="2922"/>
      <c r="C49" s="2923"/>
      <c r="D49" s="2924" t="s">
        <v>805</v>
      </c>
      <c r="E49" s="2925">
        <f>'G3(b)'!$M$61</f>
        <v>0.27719048793522472</v>
      </c>
      <c r="F49" s="2926">
        <f>'G4(b)'!$M$61</f>
        <v>0.35395158144514932</v>
      </c>
      <c r="G49" s="2927">
        <f>'GS3(b)'!$M$61</f>
        <v>0.35993007051266429</v>
      </c>
      <c r="H49" s="2928">
        <f>'GS4(b)'!$M$61</f>
        <v>0.41119350100461716</v>
      </c>
      <c r="I49" s="2929" t="e">
        <f>#REF!</f>
        <v>#REF!</v>
      </c>
      <c r="J49" s="2930" t="e">
        <f>#REF!</f>
        <v>#REF!</v>
      </c>
      <c r="K49" s="2930">
        <f>'H2(b)'!$M$61</f>
        <v>0.3988612269493389</v>
      </c>
      <c r="L49" s="2925">
        <f>'H3(b)'!$M$61</f>
        <v>0.44802724343465022</v>
      </c>
      <c r="M49" s="2926">
        <f>'HTr.4(b)'!$M$61</f>
        <v>0.58496170857861474</v>
      </c>
      <c r="N49" s="2927">
        <f>'Stw.(b)'!$M$61</f>
        <v>0.1062832845711084</v>
      </c>
      <c r="O49" s="2929">
        <f>'Umw.(b)'!$M$61</f>
        <v>0.10435997578069663</v>
      </c>
      <c r="P49" s="2929">
        <f>'Porw.(b)'!$M$61</f>
        <v>0.16280037346183487</v>
      </c>
      <c r="Q49" s="2931">
        <f>'G3(b)'!$M$59</f>
        <v>0.27719048793522472</v>
      </c>
      <c r="R49" s="2702"/>
      <c r="S49" s="2927">
        <f>'KGGrün(b)'!M56</f>
        <v>0.34568112456738526</v>
      </c>
      <c r="T49" s="2930">
        <f>'KGGrün(b)'!N56</f>
        <v>0.34317513318848902</v>
      </c>
      <c r="U49" s="2931">
        <f>'KGGrün(b)'!O56</f>
        <v>0.34063114488296242</v>
      </c>
      <c r="V49" s="2927">
        <f>'KSilo(b)'!M56</f>
        <v>0.51094599557581244</v>
      </c>
      <c r="W49" s="2930">
        <f>'KSilo(b)'!N56</f>
        <v>0.49297588945093174</v>
      </c>
      <c r="X49" s="2931">
        <f>'KSilo(b)'!O56</f>
        <v>0.48154036737146227</v>
      </c>
      <c r="Y49" s="2927">
        <f>'KGCob(b)'!M56</f>
        <v>0.80721308348063858</v>
      </c>
      <c r="Z49" s="2930">
        <f>'KGCob(b)'!N56</f>
        <v>0.79632969380536378</v>
      </c>
      <c r="AA49" s="2931">
        <f>'KGCob(b)'!O56</f>
        <v>0.78907410068851425</v>
      </c>
      <c r="AB49" s="2927">
        <f>'LuzGrün(b)'!M56</f>
        <v>0.36116660649354382</v>
      </c>
      <c r="AC49" s="2930">
        <f>'LuzGrün(b)'!N56</f>
        <v>0.34019581870326243</v>
      </c>
      <c r="AD49" s="2931">
        <f>'LuzGrün(b)'!O56</f>
        <v>0.32137868178226953</v>
      </c>
      <c r="AE49" s="2927">
        <f>'LuzHeuTr(b)'!M56</f>
        <v>0.61520667443830268</v>
      </c>
      <c r="AF49" s="2930">
        <f>'LuzHeuTr(b)'!N56</f>
        <v>0.58211194977836411</v>
      </c>
      <c r="AG49" s="2931">
        <f>'LuzHeuTr(b)'!O56</f>
        <v>0.56225511498240122</v>
      </c>
      <c r="AH49" s="2927">
        <f>'Silomais(b)'!M56</f>
        <v>0.35590765389290624</v>
      </c>
      <c r="AI49" s="2930">
        <f>'Silomais(b)'!N56</f>
        <v>0.33025237431023624</v>
      </c>
      <c r="AJ49" s="2931">
        <f>'Silomais(b)'!O56</f>
        <v>0.29332010377579854</v>
      </c>
      <c r="AK49" s="2927">
        <f>'GPS G-E(b)'!M56</f>
        <v>0.4766725551503504</v>
      </c>
      <c r="AL49" s="2930">
        <f>'GPS G-E(b)'!N56</f>
        <v>0.40212674285091188</v>
      </c>
      <c r="AM49" s="2931">
        <f>'GPS G-E(b)'!O56</f>
        <v>0.36071240268455701</v>
      </c>
      <c r="AN49" s="2927">
        <f>'Zwf(b)'!M56</f>
        <v>0.48108267446475705</v>
      </c>
      <c r="AO49" s="2930">
        <f>'Zwf(b)'!N56</f>
        <v>0.41680947214015751</v>
      </c>
      <c r="AP49" s="2931">
        <f>'Zwf(b)'!O56</f>
        <v>0.3759083433881395</v>
      </c>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row>
    <row r="50" spans="1:99" ht="21.25" customHeight="1" x14ac:dyDescent="0.2">
      <c r="A50" s="215"/>
      <c r="B50" s="2405"/>
      <c r="C50" s="2406"/>
      <c r="D50" s="2015" t="s">
        <v>319</v>
      </c>
      <c r="E50" s="2823">
        <f>'G3(b)'!$M$62</f>
        <v>0.16631429276113482</v>
      </c>
      <c r="F50" s="2855">
        <f>'G4(b)'!$M$62</f>
        <v>0.21237094886708957</v>
      </c>
      <c r="G50" s="2407">
        <f>'GS3(b)'!$M$62</f>
        <v>0.21595804230759855</v>
      </c>
      <c r="H50" s="2885">
        <f>'GS4(b)'!$M$62</f>
        <v>0.2467161006027703</v>
      </c>
      <c r="I50" s="2408" t="e">
        <f>#REF!</f>
        <v>#REF!</v>
      </c>
      <c r="J50" s="2409" t="e">
        <f>#REF!</f>
        <v>#REF!</v>
      </c>
      <c r="K50" s="2409">
        <f>'H2(b)'!$M$62</f>
        <v>0.23931673616960336</v>
      </c>
      <c r="L50" s="2407">
        <f>'H3(b)'!$M$62</f>
        <v>0.26881634606079008</v>
      </c>
      <c r="M50" s="2855">
        <f>'HTr.4(b)'!$M$62</f>
        <v>0.35097702514716883</v>
      </c>
      <c r="N50" s="2407">
        <f>'Stw.(b)'!$M$62</f>
        <v>6.3769970742665036E-2</v>
      </c>
      <c r="O50" s="2408">
        <f>'Umw.(b)'!$M$62</f>
        <v>6.261598546841797E-2</v>
      </c>
      <c r="P50" s="2408">
        <f>'Porw.(b)'!$M$62</f>
        <v>9.7680224077100933E-2</v>
      </c>
      <c r="Q50" s="2410">
        <f>'G3(b)'!$M$62</f>
        <v>0.16631429276113482</v>
      </c>
      <c r="R50" s="405"/>
      <c r="S50" s="2407">
        <f>'KGGrün(b)'!M57</f>
        <v>0.20740867474043112</v>
      </c>
      <c r="T50" s="2957">
        <f>'KGGrün(b)'!N57</f>
        <v>0.20590507991309337</v>
      </c>
      <c r="U50" s="2410">
        <f>'KGGrün(b)'!O57</f>
        <v>0.20437868692977745</v>
      </c>
      <c r="V50" s="2407">
        <f>'KSilo(b)'!M57</f>
        <v>0.30656759734548739</v>
      </c>
      <c r="W50" s="2957">
        <f>'KSilo(b)'!N57</f>
        <v>0.29578553367055904</v>
      </c>
      <c r="X50" s="2410">
        <f>'KSilo(b)'!O57</f>
        <v>0.28892422042287735</v>
      </c>
      <c r="Y50" s="2407">
        <f>'KGCob(b)'!M57</f>
        <v>0.48432785008838303</v>
      </c>
      <c r="Z50" s="2957">
        <f>'KGCob(b)'!N57</f>
        <v>0.47779781628321816</v>
      </c>
      <c r="AA50" s="2410">
        <f>'KGCob(b)'!O57</f>
        <v>0.47344446041310845</v>
      </c>
      <c r="AB50" s="2407">
        <f>'LuzGrün(b)'!M57</f>
        <v>0.21669996389612625</v>
      </c>
      <c r="AC50" s="2957">
        <f>'LuzGrün(b)'!N57</f>
        <v>0.20411749122195746</v>
      </c>
      <c r="AD50" s="2410">
        <f>'LuzGrün(b)'!O57</f>
        <v>0.19282720906936177</v>
      </c>
      <c r="AE50" s="2407">
        <f>'LuzHeuTr(b)'!M57</f>
        <v>0.36912400466298162</v>
      </c>
      <c r="AF50" s="2957">
        <f>'LuzHeuTr(b)'!N57</f>
        <v>0.34926716986701845</v>
      </c>
      <c r="AG50" s="2410">
        <f>'LuzHeuTr(b)'!O57</f>
        <v>0.33735306898944067</v>
      </c>
      <c r="AH50" s="2407">
        <f>'Silomais(b)'!M57</f>
        <v>0.21354459233574369</v>
      </c>
      <c r="AI50" s="2957">
        <f>'Silomais(b)'!N57</f>
        <v>0.19815142458614174</v>
      </c>
      <c r="AJ50" s="2410">
        <f>'Silomais(b)'!O57</f>
        <v>0.17599206226547912</v>
      </c>
      <c r="AK50" s="2407">
        <f>'GPS G-E(b)'!M57</f>
        <v>0.28600353309021026</v>
      </c>
      <c r="AL50" s="2957">
        <f>'GPS G-E(b)'!N57</f>
        <v>0.24127604571054706</v>
      </c>
      <c r="AM50" s="2410">
        <f>'GPS G-E(b)'!O57</f>
        <v>0.21642744161073421</v>
      </c>
      <c r="AN50" s="2407">
        <f>'Zwf(b)'!M57</f>
        <v>0.2886496046788542</v>
      </c>
      <c r="AO50" s="2957">
        <f>'Zwf(b)'!N57</f>
        <v>0.25008568328409453</v>
      </c>
      <c r="AP50" s="2410">
        <f>'Zwf(b)'!O57</f>
        <v>0.22554500603288372</v>
      </c>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row>
    <row r="51" spans="1:99" ht="18.7" hidden="1" customHeight="1" x14ac:dyDescent="0.2">
      <c r="A51" s="735"/>
      <c r="B51" s="1684" t="s">
        <v>100</v>
      </c>
      <c r="C51" s="1901"/>
      <c r="D51" s="1654" t="s">
        <v>154</v>
      </c>
      <c r="E51" s="986">
        <f>'G3(b)'!$M$63</f>
        <v>1035.5490141150076</v>
      </c>
      <c r="F51" s="2828">
        <f>'G4(b)'!$M$63</f>
        <v>1654.369691674628</v>
      </c>
      <c r="G51" s="987">
        <f>'GS3(b)'!$M$63</f>
        <v>1100.2509151478926</v>
      </c>
      <c r="H51" s="2864">
        <f>'GS4(b)'!$M$63</f>
        <v>1657.68611369831</v>
      </c>
      <c r="I51" s="984" t="e">
        <f>#REF!</f>
        <v>#REF!</v>
      </c>
      <c r="J51" s="988" t="e">
        <f>#REF!</f>
        <v>#REF!</v>
      </c>
      <c r="K51" s="988">
        <f>'H2(b)'!$M$63</f>
        <v>754.15422205163543</v>
      </c>
      <c r="L51" s="986">
        <f>'H3(b)'!$M$63</f>
        <v>1219.4109149090468</v>
      </c>
      <c r="M51" s="2828">
        <f>'HTr.4(b)'!$M$63</f>
        <v>2052.1546009049925</v>
      </c>
      <c r="N51" s="987">
        <f>'Stw.(b)'!$M$63</f>
        <v>216.02077589077783</v>
      </c>
      <c r="O51" s="984">
        <f>'Umw.(b)'!$M$63</f>
        <v>328.31648380607157</v>
      </c>
      <c r="P51" s="984">
        <f>'Porw.(b)'!$M$63</f>
        <v>765.93505704456766</v>
      </c>
      <c r="Q51" s="985">
        <f>'G3(b)'!$M$63</f>
        <v>1035.5490141150076</v>
      </c>
      <c r="R51"/>
      <c r="S51" s="987">
        <f>'KGGrün(b)'!M59</f>
        <v>1550.0341625601554</v>
      </c>
      <c r="T51" s="2939">
        <f>'KGGrün(b)'!N59</f>
        <v>1923.4966215214808</v>
      </c>
      <c r="U51" s="985">
        <f>'KGGrün(b)'!O59</f>
        <v>2291.0850804828051</v>
      </c>
      <c r="V51" s="987">
        <f>'KSilo(b)'!M59</f>
        <v>1700.9443489930002</v>
      </c>
      <c r="W51" s="2939">
        <f>'KSilo(b)'!N59</f>
        <v>2106.5805101997189</v>
      </c>
      <c r="X51" s="985">
        <f>'KSilo(b)'!O59</f>
        <v>2512.2166714064388</v>
      </c>
      <c r="Y51" s="987">
        <f>'KGCob(b)'!M59</f>
        <v>3096.0228744296246</v>
      </c>
      <c r="Z51" s="2939">
        <f>'KGCob(b)'!N59</f>
        <v>3814.9586412801409</v>
      </c>
      <c r="AA51" s="985">
        <f>'KGCob(b)'!O59</f>
        <v>4533.8944081306581</v>
      </c>
      <c r="AB51" s="987">
        <f>'LuzGrün(b)'!M59</f>
        <v>1194.0168010676557</v>
      </c>
      <c r="AC51" s="2939">
        <f>'LuzGrün(b)'!N59</f>
        <v>1499.5831688439807</v>
      </c>
      <c r="AD51" s="985">
        <f>'LuzGrün(b)'!O59</f>
        <v>1770.7965366203052</v>
      </c>
      <c r="AE51" s="987">
        <f>'LuzHeuTr(b)'!M59</f>
        <v>1374.1372149755186</v>
      </c>
      <c r="AF51" s="2939">
        <f>'LuzHeuTr(b)'!N59</f>
        <v>1714.4716366302225</v>
      </c>
      <c r="AG51" s="985">
        <f>'LuzHeuTr(b)'!O59</f>
        <v>2054.8060582849262</v>
      </c>
      <c r="AH51" s="987">
        <f>'Silomais(b)'!M59</f>
        <v>2054.4488386991729</v>
      </c>
      <c r="AI51" s="2939">
        <f>'Silomais(b)'!N59</f>
        <v>2315.8064572752141</v>
      </c>
      <c r="AJ51" s="985">
        <f>'Silomais(b)'!O59</f>
        <v>2767.435765927296</v>
      </c>
      <c r="AK51" s="987">
        <f>'GPS G-E(b)'!M59</f>
        <v>1075.1565008760927</v>
      </c>
      <c r="AL51" s="2939">
        <f>'GPS G-E(b)'!N59</f>
        <v>1255.3713567237314</v>
      </c>
      <c r="AM51" s="985">
        <f>'GPS G-E(b)'!O59</f>
        <v>1435.58621257137</v>
      </c>
      <c r="AN51" s="987">
        <f>'Zwf(b)'!M59</f>
        <v>771.88294324820856</v>
      </c>
      <c r="AO51" s="2939">
        <f>'Zwf(b)'!N59</f>
        <v>848.73175591653614</v>
      </c>
      <c r="AP51" s="985">
        <f>'Zwf(b)'!O59</f>
        <v>925.5805685848635</v>
      </c>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row>
    <row r="52" spans="1:99" ht="18.7" hidden="1" customHeight="1" x14ac:dyDescent="0.2">
      <c r="A52" s="735"/>
      <c r="B52" s="1684" t="s">
        <v>103</v>
      </c>
      <c r="C52" s="1901"/>
      <c r="D52" s="1654" t="s">
        <v>158</v>
      </c>
      <c r="E52" s="1002">
        <f>'G3(b)'!$M$65</f>
        <v>0.27719048793522472</v>
      </c>
      <c r="F52" s="2849">
        <f>'G4(b)'!$M$65</f>
        <v>0.35395158144514932</v>
      </c>
      <c r="G52" s="1003">
        <f>'GS3(b)'!$M$65</f>
        <v>0.33909655695862545</v>
      </c>
      <c r="H52" s="2886">
        <f>'GS4(b)'!$M$65</f>
        <v>0.39154252411307799</v>
      </c>
      <c r="I52" s="1000" t="e">
        <f>#REF!</f>
        <v>#REF!</v>
      </c>
      <c r="J52" s="1004" t="e">
        <f>#REF!</f>
        <v>#REF!</v>
      </c>
      <c r="K52" s="1004">
        <f>'H2(b)'!$M$65</f>
        <v>0.35855761044626794</v>
      </c>
      <c r="L52" s="1002">
        <f>'H3(b)'!$M$65</f>
        <v>0.41089357429698936</v>
      </c>
      <c r="M52" s="2849">
        <f>'HTr.4(b)'!$M$65</f>
        <v>0.52062150240883265</v>
      </c>
      <c r="N52" s="1003">
        <f>'Stw.(b)'!$M$65</f>
        <v>0.1062832845711084</v>
      </c>
      <c r="O52" s="1000">
        <f>'Umw.(b)'!$M$65</f>
        <v>0.10435997578069663</v>
      </c>
      <c r="P52" s="1000">
        <f>'Porw.(b)'!$M$65</f>
        <v>0.16280037346183487</v>
      </c>
      <c r="Q52" s="1001">
        <f>'G3(b)'!$M$65</f>
        <v>0.27719048793522472</v>
      </c>
      <c r="R52"/>
      <c r="S52" s="1003">
        <f>'KGGrün(b)'!M61</f>
        <v>0.34568112456738526</v>
      </c>
      <c r="T52" s="2958">
        <f>'KGGrün(b)'!N61</f>
        <v>0.34317513318848902</v>
      </c>
      <c r="U52" s="1001">
        <f>'KGGrün(b)'!O61</f>
        <v>0.34063114488296242</v>
      </c>
      <c r="V52" s="1003">
        <f>'KSilo(b)'!M61</f>
        <v>0.48911443207758226</v>
      </c>
      <c r="W52" s="2958">
        <f>'KSilo(b)'!N61</f>
        <v>0.4711443259527015</v>
      </c>
      <c r="X52" s="1001">
        <f>'KSilo(b)'!O61</f>
        <v>0.4597088038732321</v>
      </c>
      <c r="Y52" s="1003">
        <f>'KGCob(b)'!M61</f>
        <v>0.76482778518518402</v>
      </c>
      <c r="Z52" s="2958">
        <f>'KGCob(b)'!N61</f>
        <v>0.75394439550990922</v>
      </c>
      <c r="AA52" s="1001">
        <f>'KGCob(b)'!O61</f>
        <v>0.74668880239305968</v>
      </c>
      <c r="AB52" s="1003">
        <f>'LuzGrün(b)'!M61</f>
        <v>0.36116660649354382</v>
      </c>
      <c r="AC52" s="2958">
        <f>'LuzGrün(b)'!N61</f>
        <v>0.34019581870326243</v>
      </c>
      <c r="AD52" s="1001">
        <f>'LuzGrün(b)'!O61</f>
        <v>0.32137868178226953</v>
      </c>
      <c r="AE52" s="1003">
        <f>'LuzHeuTr(b)'!M61</f>
        <v>0.5151211632086965</v>
      </c>
      <c r="AF52" s="2958">
        <f>'LuzHeuTr(b)'!N61</f>
        <v>0.48202643854875793</v>
      </c>
      <c r="AG52" s="1001">
        <f>'LuzHeuTr(b)'!O61</f>
        <v>0.46216960375279492</v>
      </c>
      <c r="AH52" s="1003">
        <f>'Silomais(b)'!M61</f>
        <v>0.33790276952289028</v>
      </c>
      <c r="AI52" s="2958">
        <f>'Silomais(b)'!N61</f>
        <v>0.31252448816129746</v>
      </c>
      <c r="AJ52" s="1001">
        <f>'Silomais(b)'!O61</f>
        <v>0.27586082196244976</v>
      </c>
      <c r="AK52" s="1003">
        <f>'GPS G-E(b)'!M61</f>
        <v>0.44910463695743219</v>
      </c>
      <c r="AL52" s="2958">
        <f>'GPS G-E(b)'!N61</f>
        <v>0.37455882465799367</v>
      </c>
      <c r="AM52" s="1001">
        <f>'GPS G-E(b)'!O61</f>
        <v>0.3331444844916388</v>
      </c>
      <c r="AN52" s="1003">
        <f>'Zwf(b)'!M61</f>
        <v>0.44391703660467474</v>
      </c>
      <c r="AO52" s="2958">
        <f>'Zwf(b)'!N61</f>
        <v>0.37964383428007525</v>
      </c>
      <c r="AP52" s="1001">
        <f>'Zwf(b)'!O61</f>
        <v>0.33874270552805719</v>
      </c>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row>
    <row r="53" spans="1:99" ht="18.7" hidden="1" customHeight="1" x14ac:dyDescent="0.2">
      <c r="A53" s="219"/>
      <c r="B53" s="1683" t="s">
        <v>104</v>
      </c>
      <c r="C53" s="1902"/>
      <c r="D53" s="1653" t="s">
        <v>159</v>
      </c>
      <c r="E53" s="1007">
        <f>'G3(b)'!$M$66</f>
        <v>0.16631429276113482</v>
      </c>
      <c r="F53" s="2850">
        <f>'G4(b)'!$M$66</f>
        <v>0.21237094886708957</v>
      </c>
      <c r="G53" s="1008">
        <f>'GS3(b)'!$M$66</f>
        <v>0.20345793417517524</v>
      </c>
      <c r="H53" s="2887">
        <f>'GS4(b)'!$M$66</f>
        <v>0.23492551446784682</v>
      </c>
      <c r="I53" s="1005" t="e">
        <f>#REF!</f>
        <v>#REF!</v>
      </c>
      <c r="J53" s="1009" t="e">
        <f>#REF!</f>
        <v>#REF!</v>
      </c>
      <c r="K53" s="1009">
        <f>'H2(b)'!$M$66</f>
        <v>0.21513456626776079</v>
      </c>
      <c r="L53" s="1007">
        <f>'H3(b)'!$M$66</f>
        <v>0.24653614457819356</v>
      </c>
      <c r="M53" s="2850">
        <f>'HTr.4(b)'!$M$66</f>
        <v>0.31237290144529961</v>
      </c>
      <c r="N53" s="1008">
        <f>'Stw.(b)'!$M$66</f>
        <v>6.3769970742665036E-2</v>
      </c>
      <c r="O53" s="1005">
        <f>'Umw.(b)'!$M$66</f>
        <v>6.261598546841797E-2</v>
      </c>
      <c r="P53" s="1005">
        <f>'Porw.(b)'!$M$66</f>
        <v>9.7680224077100933E-2</v>
      </c>
      <c r="Q53" s="1006">
        <f>'G3(b)'!$M$66</f>
        <v>0.16631429276113482</v>
      </c>
      <c r="R53"/>
      <c r="S53" s="1008">
        <f>'KGGrün(b)'!M63</f>
        <v>0.20740867474043112</v>
      </c>
      <c r="T53" s="2959">
        <f>'KGGrün(b)'!N63</f>
        <v>0.20590507991309337</v>
      </c>
      <c r="U53" s="1006">
        <f>'KGGrün(b)'!O63</f>
        <v>0.20437868692977745</v>
      </c>
      <c r="V53" s="1008">
        <f>'KSilo(b)'!M63</f>
        <v>0.2934686592465493</v>
      </c>
      <c r="W53" s="2959">
        <f>'KSilo(b)'!N63</f>
        <v>0.2826865955716209</v>
      </c>
      <c r="X53" s="1006">
        <f>'KSilo(b)'!O63</f>
        <v>0.27582528232393927</v>
      </c>
      <c r="Y53" s="1008">
        <f>'KGCob(b)'!M63</f>
        <v>0.45889667111111027</v>
      </c>
      <c r="Z53" s="2959">
        <f>'KGCob(b)'!N63</f>
        <v>0.45236663730594545</v>
      </c>
      <c r="AA53" s="1006">
        <f>'KGCob(b)'!O63</f>
        <v>0.44801328143583569</v>
      </c>
      <c r="AB53" s="1008">
        <f>'LuzGrün(b)'!M63</f>
        <v>0.21669996389612625</v>
      </c>
      <c r="AC53" s="2959">
        <f>'LuzGrün(b)'!N63</f>
        <v>0.20411749122195746</v>
      </c>
      <c r="AD53" s="1006">
        <f>'LuzGrün(b)'!O63</f>
        <v>0.19282720906936177</v>
      </c>
      <c r="AE53" s="1008">
        <f>'LuzHeuTr(b)'!M63</f>
        <v>0.30907269792521785</v>
      </c>
      <c r="AF53" s="2959">
        <f>'LuzHeuTr(b)'!N63</f>
        <v>0.28921586312925474</v>
      </c>
      <c r="AG53" s="1006">
        <f>'LuzHeuTr(b)'!O63</f>
        <v>0.27730176225167691</v>
      </c>
      <c r="AH53" s="1008">
        <f>'Silomais(b)'!M63</f>
        <v>0.20274166171373412</v>
      </c>
      <c r="AI53" s="2959">
        <f>'Silomais(b)'!N63</f>
        <v>0.18751469289677847</v>
      </c>
      <c r="AJ53" s="1006">
        <f>'Silomais(b)'!O63</f>
        <v>0.16551649317746986</v>
      </c>
      <c r="AK53" s="1008">
        <f>'GPS G-E(b)'!M63</f>
        <v>0.26946278217445929</v>
      </c>
      <c r="AL53" s="2959">
        <f>'GPS G-E(b)'!N63</f>
        <v>0.22473529479479618</v>
      </c>
      <c r="AM53" s="1006">
        <f>'GPS G-E(b)'!O63</f>
        <v>0.1998866906949833</v>
      </c>
      <c r="AN53" s="1008">
        <f>'Zwf(b)'!M63</f>
        <v>0.26635022196280478</v>
      </c>
      <c r="AO53" s="2959">
        <f>'Zwf(b)'!N63</f>
        <v>0.22778630056804516</v>
      </c>
      <c r="AP53" s="1006">
        <f>'Zwf(b)'!O63</f>
        <v>0.20324562331683432</v>
      </c>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row>
    <row r="54" spans="1:99" ht="18" customHeight="1" x14ac:dyDescent="0.2">
      <c r="A54" s="1033"/>
      <c r="B54" s="2179" t="s">
        <v>606</v>
      </c>
      <c r="C54" s="1900"/>
      <c r="D54" s="1655" t="s">
        <v>154</v>
      </c>
      <c r="E54" s="1343">
        <f>'G3(b)'!$M$55</f>
        <v>1035.5490141150076</v>
      </c>
      <c r="F54" s="2835">
        <f>'G4(b)'!$M$55</f>
        <v>1654.369691674628</v>
      </c>
      <c r="G54" s="1344">
        <f>'GS3(b)'!M55</f>
        <v>1167.8484530266805</v>
      </c>
      <c r="H54" s="2871">
        <f>'GS4(b)'!M55</f>
        <v>1740.8830833952798</v>
      </c>
      <c r="I54" s="1342" t="e">
        <f>#REF!</f>
        <v>#REF!</v>
      </c>
      <c r="J54" s="1340" t="e">
        <f>#REF!</f>
        <v>#REF!</v>
      </c>
      <c r="K54" s="1340">
        <f>'H2(b)'!M55</f>
        <v>838.92481864254455</v>
      </c>
      <c r="L54" s="1343">
        <f>'H3(b)'!M55</f>
        <v>1329.6126904772286</v>
      </c>
      <c r="M54" s="2835">
        <f>'HTr.4(b)'!M55</f>
        <v>2305.7669651726692</v>
      </c>
      <c r="N54" s="1344">
        <f>'Stw.(b)'!M55</f>
        <v>216.02077589077783</v>
      </c>
      <c r="O54" s="1342">
        <f>'Umw.(b)'!M55</f>
        <v>328.31648380607157</v>
      </c>
      <c r="P54" s="1342">
        <f>'Porw.(b)'!M55</f>
        <v>765.93505704456766</v>
      </c>
      <c r="Q54" s="1341">
        <f>'G3(b)'!X55</f>
        <v>0</v>
      </c>
      <c r="R54"/>
      <c r="S54" s="1344">
        <f>'KGGrün(b)'!M59</f>
        <v>1550.0341625601554</v>
      </c>
      <c r="T54" s="2946">
        <f>'KGGrün(b)'!N59</f>
        <v>1923.4966215214808</v>
      </c>
      <c r="U54" s="1341">
        <f>'KGGrün(b)'!O59</f>
        <v>2291.0850804828051</v>
      </c>
      <c r="V54" s="1344">
        <f>'KSilo(b)'!M59</f>
        <v>1700.9443489930002</v>
      </c>
      <c r="W54" s="2946">
        <f>'KSilo(b)'!N59</f>
        <v>2106.5805101997189</v>
      </c>
      <c r="X54" s="1341">
        <f>'KSilo(b)'!O59</f>
        <v>2512.2166714064388</v>
      </c>
      <c r="Y54" s="1344">
        <f>'KGCob(b)'!M59</f>
        <v>3096.0228744296246</v>
      </c>
      <c r="Z54" s="2946">
        <f>'KGCob(b)'!N59</f>
        <v>3814.9586412801409</v>
      </c>
      <c r="AA54" s="1341">
        <f>'KGCob(b)'!O59</f>
        <v>4533.8944081306581</v>
      </c>
      <c r="AB54" s="1344">
        <f>'LuzGrün(b)'!M59</f>
        <v>1194.0168010676557</v>
      </c>
      <c r="AC54" s="2946">
        <f>'LuzGrün(b)'!N59</f>
        <v>1499.5831688439807</v>
      </c>
      <c r="AD54" s="1341">
        <f>'LuzGrün(b)'!O59</f>
        <v>1770.7965366203052</v>
      </c>
      <c r="AE54" s="1344">
        <f>'LuzHeuTr(b)'!M59</f>
        <v>1374.1372149755186</v>
      </c>
      <c r="AF54" s="2946">
        <f>'LuzHeuTr(b)'!N59</f>
        <v>1714.4716366302225</v>
      </c>
      <c r="AG54" s="1341">
        <f>'LuzHeuTr(b)'!O59</f>
        <v>2054.8060582849262</v>
      </c>
      <c r="AH54" s="1344">
        <f>'Silomais(b)'!M59</f>
        <v>2054.4488386991729</v>
      </c>
      <c r="AI54" s="2946">
        <f>'Silomais(b)'!N59</f>
        <v>2315.8064572752141</v>
      </c>
      <c r="AJ54" s="1341">
        <f>'Silomais(b)'!O59</f>
        <v>2767.435765927296</v>
      </c>
      <c r="AK54" s="1344">
        <f>'GPS G-E(b)'!M59</f>
        <v>1075.1565008760927</v>
      </c>
      <c r="AL54" s="2946">
        <f>'GPS G-E(b)'!N59</f>
        <v>1255.3713567237314</v>
      </c>
      <c r="AM54" s="1341">
        <f>'GPS G-E(b)'!O59</f>
        <v>1435.58621257137</v>
      </c>
      <c r="AN54" s="1344">
        <f>'Zwf(b)'!M59</f>
        <v>771.88294324820856</v>
      </c>
      <c r="AO54" s="2946">
        <f>'Zwf(b)'!N59</f>
        <v>848.73175591653614</v>
      </c>
      <c r="AP54" s="1341">
        <f>'Zwf(b)'!O59</f>
        <v>925.5805685848635</v>
      </c>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row>
    <row r="55" spans="1:99" ht="18" customHeight="1" x14ac:dyDescent="0.2">
      <c r="A55" s="1036"/>
      <c r="B55" s="2179" t="s">
        <v>607</v>
      </c>
      <c r="C55" s="2007"/>
      <c r="D55" s="2016" t="s">
        <v>405</v>
      </c>
      <c r="E55" s="1670">
        <f>'G3(b)'!M65</f>
        <v>0.27719048793522472</v>
      </c>
      <c r="F55" s="2851">
        <f>'G4(b)'!M65</f>
        <v>0.35395158144514932</v>
      </c>
      <c r="G55" s="1671">
        <f>'GS3(b)'!M65</f>
        <v>0.33909655695862545</v>
      </c>
      <c r="H55" s="2888">
        <f>'GS4(b)'!M65</f>
        <v>0.39154252411307799</v>
      </c>
      <c r="I55" s="1673" t="e">
        <f>#REF!</f>
        <v>#REF!</v>
      </c>
      <c r="J55" s="1669" t="e">
        <f>#REF!</f>
        <v>#REF!</v>
      </c>
      <c r="K55" s="1669">
        <f>'H2(b)'!M65</f>
        <v>0.35855761044626794</v>
      </c>
      <c r="L55" s="1670">
        <f>'H3(b)'!M65</f>
        <v>0.41089357429698936</v>
      </c>
      <c r="M55" s="2851">
        <f>'HTr.4(b)'!M65</f>
        <v>0.52062150240883265</v>
      </c>
      <c r="N55" s="1671">
        <f>'Stw.(b)'!M65</f>
        <v>0.1062832845711084</v>
      </c>
      <c r="O55" s="1673">
        <f>'Umw.(b)'!M65</f>
        <v>0.10435997578069663</v>
      </c>
      <c r="P55" s="1673">
        <f>'Porw.(b)'!M65</f>
        <v>0.16280037346183487</v>
      </c>
      <c r="Q55" s="1672">
        <f>'G3(b)'!X65</f>
        <v>0</v>
      </c>
      <c r="R55"/>
      <c r="S55" s="1671">
        <f>'KGGrün(b)'!M61</f>
        <v>0.34568112456738526</v>
      </c>
      <c r="T55" s="2960">
        <f>'KGGrün(b)'!N61</f>
        <v>0.34317513318848902</v>
      </c>
      <c r="U55" s="1672">
        <f>'KGGrün(b)'!O61</f>
        <v>0.34063114488296242</v>
      </c>
      <c r="V55" s="1671">
        <f>'KSilo(b)'!M61</f>
        <v>0.48911443207758226</v>
      </c>
      <c r="W55" s="2960">
        <f>'KSilo(b)'!N61</f>
        <v>0.4711443259527015</v>
      </c>
      <c r="X55" s="1672">
        <f>'KSilo(b)'!O61</f>
        <v>0.4597088038732321</v>
      </c>
      <c r="Y55" s="1671">
        <f>'KGCob(b)'!M61</f>
        <v>0.76482778518518402</v>
      </c>
      <c r="Z55" s="2960">
        <f>'KGCob(b)'!N61</f>
        <v>0.75394439550990922</v>
      </c>
      <c r="AA55" s="1672">
        <f>'KGCob(b)'!O61</f>
        <v>0.74668880239305968</v>
      </c>
      <c r="AB55" s="1671">
        <f>'LuzGrün(b)'!M61</f>
        <v>0.36116660649354382</v>
      </c>
      <c r="AC55" s="2960">
        <f>'LuzGrün(b)'!N61</f>
        <v>0.34019581870326243</v>
      </c>
      <c r="AD55" s="1672">
        <f>'LuzGrün(b)'!O61</f>
        <v>0.32137868178226953</v>
      </c>
      <c r="AE55" s="1671">
        <f>'LuzHeuTr(b)'!M61</f>
        <v>0.5151211632086965</v>
      </c>
      <c r="AF55" s="2960">
        <f>'LuzHeuTr(b)'!N61</f>
        <v>0.48202643854875793</v>
      </c>
      <c r="AG55" s="1672">
        <f>'LuzHeuTr(b)'!O61</f>
        <v>0.46216960375279492</v>
      </c>
      <c r="AH55" s="1671">
        <f>'Silomais(b)'!M61</f>
        <v>0.33790276952289028</v>
      </c>
      <c r="AI55" s="2960">
        <f>'Silomais(b)'!N61</f>
        <v>0.31252448816129746</v>
      </c>
      <c r="AJ55" s="1672">
        <f>'Silomais(b)'!O61</f>
        <v>0.27586082196244976</v>
      </c>
      <c r="AK55" s="1671">
        <f>'GPS G-E(b)'!M61</f>
        <v>0.44910463695743219</v>
      </c>
      <c r="AL55" s="2960">
        <f>'GPS G-E(b)'!N61</f>
        <v>0.37455882465799367</v>
      </c>
      <c r="AM55" s="1672">
        <f>'GPS G-E(b)'!O61</f>
        <v>0.3331444844916388</v>
      </c>
      <c r="AN55" s="1671">
        <f>'Zwf(b)'!M61</f>
        <v>0.44391703660467474</v>
      </c>
      <c r="AO55" s="2960">
        <f>'Zwf(b)'!N61</f>
        <v>0.37964383428007525</v>
      </c>
      <c r="AP55" s="1672">
        <f>'Zwf(b)'!O61</f>
        <v>0.33874270552805719</v>
      </c>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row>
    <row r="56" spans="1:99" ht="18" customHeight="1" thickBot="1" x14ac:dyDescent="0.25">
      <c r="A56" s="1562"/>
      <c r="B56" s="1707"/>
      <c r="C56" s="1895"/>
      <c r="D56" s="2015" t="s">
        <v>319</v>
      </c>
      <c r="E56" s="1757">
        <f>'G3(b)'!M66</f>
        <v>0.16631429276113482</v>
      </c>
      <c r="F56" s="2852">
        <f>'G4(b)'!M66</f>
        <v>0.21237094886708957</v>
      </c>
      <c r="G56" s="1759">
        <f>'GS3(b)'!M66</f>
        <v>0.20345793417517524</v>
      </c>
      <c r="H56" s="2889">
        <f>'GS4(b)'!M66</f>
        <v>0.23492551446784682</v>
      </c>
      <c r="I56" s="1761" t="e">
        <f>#REF!</f>
        <v>#REF!</v>
      </c>
      <c r="J56" s="1758" t="e">
        <f>#REF!</f>
        <v>#REF!</v>
      </c>
      <c r="K56" s="1758">
        <f>'H2(b)'!M66</f>
        <v>0.21513456626776079</v>
      </c>
      <c r="L56" s="1757">
        <f>'H3(b)'!M66</f>
        <v>0.24653614457819356</v>
      </c>
      <c r="M56" s="2852">
        <f>'HTr.4(b)'!M66</f>
        <v>0.31237290144529961</v>
      </c>
      <c r="N56" s="1759">
        <f>'Stw.(b)'!M66</f>
        <v>6.3769970742665036E-2</v>
      </c>
      <c r="O56" s="1761">
        <f>'Umw.(b)'!M66</f>
        <v>6.261598546841797E-2</v>
      </c>
      <c r="P56" s="1761">
        <f>'Porw.(b)'!M66</f>
        <v>9.7680224077100933E-2</v>
      </c>
      <c r="Q56" s="1760">
        <f>'G3(b)'!X66</f>
        <v>0</v>
      </c>
      <c r="R56"/>
      <c r="S56" s="1759">
        <f>'KGGrün(b)'!M63</f>
        <v>0.20740867474043112</v>
      </c>
      <c r="T56" s="2961">
        <f>'KGGrün(b)'!N63</f>
        <v>0.20590507991309337</v>
      </c>
      <c r="U56" s="1760">
        <f>'KGGrün(b)'!O63</f>
        <v>0.20437868692977745</v>
      </c>
      <c r="V56" s="1759">
        <f>'KSilo(b)'!M63</f>
        <v>0.2934686592465493</v>
      </c>
      <c r="W56" s="2961">
        <f>'KSilo(b)'!N63</f>
        <v>0.2826865955716209</v>
      </c>
      <c r="X56" s="1760">
        <f>'KSilo(b)'!O63</f>
        <v>0.27582528232393927</v>
      </c>
      <c r="Y56" s="1759">
        <f>'KGCob(b)'!M63</f>
        <v>0.45889667111111027</v>
      </c>
      <c r="Z56" s="2961">
        <f>'KGCob(b)'!N63</f>
        <v>0.45236663730594545</v>
      </c>
      <c r="AA56" s="1760">
        <f>'KGCob(b)'!O63</f>
        <v>0.44801328143583569</v>
      </c>
      <c r="AB56" s="1759">
        <f>'LuzGrün(b)'!M63</f>
        <v>0.21669996389612625</v>
      </c>
      <c r="AC56" s="2961">
        <f>'LuzGrün(b)'!N63</f>
        <v>0.20411749122195746</v>
      </c>
      <c r="AD56" s="1760">
        <f>'LuzGrün(b)'!O63</f>
        <v>0.19282720906936177</v>
      </c>
      <c r="AE56" s="1759">
        <f>'LuzHeuTr(b)'!M63</f>
        <v>0.30907269792521785</v>
      </c>
      <c r="AF56" s="2961">
        <f>'LuzHeuTr(b)'!N63</f>
        <v>0.28921586312925474</v>
      </c>
      <c r="AG56" s="1760">
        <f>'LuzHeuTr(b)'!O63</f>
        <v>0.27730176225167691</v>
      </c>
      <c r="AH56" s="1759">
        <f>'Silomais(b)'!M63</f>
        <v>0.20274166171373412</v>
      </c>
      <c r="AI56" s="2961">
        <f>'Silomais(b)'!N63</f>
        <v>0.18751469289677847</v>
      </c>
      <c r="AJ56" s="1760">
        <f>'Silomais(b)'!O63</f>
        <v>0.16551649317746986</v>
      </c>
      <c r="AK56" s="1759">
        <f>'GPS G-E(b)'!M63</f>
        <v>0.26946278217445929</v>
      </c>
      <c r="AL56" s="2961">
        <f>'GPS G-E(b)'!N63</f>
        <v>0.22473529479479618</v>
      </c>
      <c r="AM56" s="1760">
        <f>'GPS G-E(b)'!O63</f>
        <v>0.1998866906949833</v>
      </c>
      <c r="AN56" s="1759">
        <f>'Zwf(b)'!M63</f>
        <v>0.26635022196280478</v>
      </c>
      <c r="AO56" s="2961">
        <f>'Zwf(b)'!N63</f>
        <v>0.22778630056804516</v>
      </c>
      <c r="AP56" s="1760">
        <f>'Zwf(b)'!O63</f>
        <v>0.20324562331683432</v>
      </c>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row>
    <row r="57" spans="1:99" ht="18" customHeight="1" x14ac:dyDescent="0.2">
      <c r="A57" s="1562"/>
      <c r="B57" s="1806" t="s">
        <v>341</v>
      </c>
      <c r="C57" s="1903"/>
      <c r="D57" s="1816" t="s">
        <v>154</v>
      </c>
      <c r="E57" s="1807">
        <f>'G3(b)'!M68</f>
        <v>698.85364722412862</v>
      </c>
      <c r="F57" s="2853">
        <f>'G4(b)'!M68</f>
        <v>1043.0867805723249</v>
      </c>
      <c r="G57" s="1810">
        <f>'GS3(b)'!M68</f>
        <v>732.77527647108616</v>
      </c>
      <c r="H57" s="2890">
        <f>'GS4(b)'!M68</f>
        <v>1076.9585437384799</v>
      </c>
      <c r="I57" s="1811" t="e">
        <f>#REF!</f>
        <v>#REF!</v>
      </c>
      <c r="J57" s="1808" t="e">
        <f>#REF!</f>
        <v>#REF!</v>
      </c>
      <c r="K57" s="1808">
        <f>'H2(b)'!M68</f>
        <v>364.33889320489283</v>
      </c>
      <c r="L57" s="1807">
        <f>'H3(b)'!M68</f>
        <v>654.63944903333447</v>
      </c>
      <c r="M57" s="2853">
        <f>'HTr.4(b)'!M68</f>
        <v>1237.7624031452729</v>
      </c>
      <c r="N57" s="1810">
        <f>'Stw.(b)'!M68</f>
        <v>218.35199483299999</v>
      </c>
      <c r="O57" s="1811">
        <f>'Umw.(b)'!M68</f>
        <v>258.27592916787756</v>
      </c>
      <c r="P57" s="1811">
        <f>'Porw.(b)'!M68</f>
        <v>509.19085496438998</v>
      </c>
      <c r="Q57" s="1809">
        <f>'G3(b)'!X68</f>
        <v>0</v>
      </c>
      <c r="R57"/>
      <c r="S57" s="1810">
        <f>'KGGrün(b)'!M65</f>
        <v>805.87819978745244</v>
      </c>
      <c r="T57" s="2962">
        <f>'KGGrün(b)'!N65</f>
        <v>989.18374965677731</v>
      </c>
      <c r="U57" s="1809">
        <f>'KGGrün(b)'!O65</f>
        <v>1172.4892995261023</v>
      </c>
      <c r="V57" s="1810">
        <f>'KSilo(b)'!M65</f>
        <v>876.57191848652303</v>
      </c>
      <c r="W57" s="2962">
        <f>'KSilo(b)'!N65</f>
        <v>1097.0292297032286</v>
      </c>
      <c r="X57" s="1809">
        <f>'KSilo(b)'!O65</f>
        <v>1317.4865409199351</v>
      </c>
      <c r="Y57" s="1810">
        <f>'KGCob(b)'!M65</f>
        <v>777.27735995886087</v>
      </c>
      <c r="Z57" s="2962">
        <f>'KGCob(b)'!N65</f>
        <v>953.38672902004407</v>
      </c>
      <c r="AA57" s="1809">
        <f>'KGCob(b)'!O65</f>
        <v>1129.4960980812275</v>
      </c>
      <c r="AB57" s="1810">
        <f>'LuzGrün(b)'!M65</f>
        <v>431.51283829495253</v>
      </c>
      <c r="AC57" s="2962">
        <f>'LuzGrün(b)'!N65</f>
        <v>541.85679697927753</v>
      </c>
      <c r="AD57" s="1809">
        <f>'LuzGrün(b)'!O65</f>
        <v>652.20075566360231</v>
      </c>
      <c r="AE57" s="1810">
        <f>'LuzHeuTr(b)'!M65</f>
        <v>631.69869237467378</v>
      </c>
      <c r="AF57" s="2962">
        <f>'LuzHeuTr(b)'!N65</f>
        <v>808.77126908557261</v>
      </c>
      <c r="AG57" s="1809">
        <f>'LuzHeuTr(b)'!O65</f>
        <v>985.84384579647156</v>
      </c>
      <c r="AH57" s="1810">
        <f>'Silomais(b)'!M65</f>
        <v>1155.8645547517547</v>
      </c>
      <c r="AI57" s="2962">
        <f>'Silomais(b)'!N65</f>
        <v>1319.8963283660989</v>
      </c>
      <c r="AJ57" s="1809">
        <f>'Silomais(b)'!O65</f>
        <v>1647.6989470947867</v>
      </c>
      <c r="AK57" s="1810">
        <f>'GPS G-E(b)'!M65</f>
        <v>462.27157849272351</v>
      </c>
      <c r="AL57" s="2962">
        <f>'GPS G-E(b)'!N65</f>
        <v>544.36995257074796</v>
      </c>
      <c r="AM57" s="1809">
        <f>'GPS G-E(b)'!O65</f>
        <v>626.46832664877218</v>
      </c>
      <c r="AN57" s="1810">
        <f>'Zwf(b)'!M65</f>
        <v>454.84463226586195</v>
      </c>
      <c r="AO57" s="2962">
        <f>'Zwf(b)'!N65</f>
        <v>519.69494849637601</v>
      </c>
      <c r="AP57" s="1809">
        <f>'Zwf(b)'!O65</f>
        <v>584.5452647268902</v>
      </c>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row>
    <row r="58" spans="1:99" ht="18" customHeight="1" thickBot="1" x14ac:dyDescent="0.25">
      <c r="A58" s="1562"/>
      <c r="B58" s="1815" t="s">
        <v>342</v>
      </c>
      <c r="C58" s="1904"/>
      <c r="D58" s="1817" t="s">
        <v>154</v>
      </c>
      <c r="E58" s="1962">
        <f>'G3(b)'!M70</f>
        <v>652.92161689087902</v>
      </c>
      <c r="F58" s="2854">
        <f>'G4(b)'!M70</f>
        <v>817.50916110230298</v>
      </c>
      <c r="G58" s="2891">
        <f>'GS3(b)'!M70</f>
        <v>683.70188867680622</v>
      </c>
      <c r="H58" s="2892">
        <f>'GS4(b)'!M70</f>
        <v>786.95381995983018</v>
      </c>
      <c r="I58" s="1814" t="e">
        <f>#REF!</f>
        <v>#REF!</v>
      </c>
      <c r="J58" s="1813" t="e">
        <f>#REF!</f>
        <v>#REF!</v>
      </c>
      <c r="K58" s="1813">
        <f>'H2(b)'!M70</f>
        <v>726.04157884674237</v>
      </c>
      <c r="L58" s="1812">
        <f>'H3(b)'!M70</f>
        <v>880.99771587571217</v>
      </c>
      <c r="M58" s="2854">
        <f>'HTr.4(b)'!M70</f>
        <v>1020.6184477597192</v>
      </c>
      <c r="N58" s="2891">
        <f>'Stw.(b)'!M70</f>
        <v>333.89503105777777</v>
      </c>
      <c r="O58" s="2895">
        <f>'Umw.(b)'!M70</f>
        <v>386.26680463819383</v>
      </c>
      <c r="P58" s="2895">
        <f>'Porw.(b)'!M70</f>
        <v>482.97045208017778</v>
      </c>
      <c r="Q58" s="2896">
        <f>'G3(b)'!X70</f>
        <v>0</v>
      </c>
      <c r="R58"/>
      <c r="S58" s="1958">
        <f>'KGGrün(b)'!M67</f>
        <v>919.49112186470302</v>
      </c>
      <c r="T58" s="2963">
        <f>'KGGrün(b)'!N67</f>
        <v>1000.539121864703</v>
      </c>
      <c r="U58" s="1959">
        <f>'KGGrün(b)'!O67</f>
        <v>1134.822030956703</v>
      </c>
      <c r="V58" s="1958">
        <f>'KSilo(b)'!M67</f>
        <v>983.96032317941706</v>
      </c>
      <c r="W58" s="2963">
        <f>'KSilo(b)'!N67</f>
        <v>1075.7775304964903</v>
      </c>
      <c r="X58" s="1959">
        <f>'KSilo(b)'!O67</f>
        <v>1210.9563804865036</v>
      </c>
      <c r="Y58" s="1958">
        <f>'KGCob(b)'!M67</f>
        <v>2464.6593289267635</v>
      </c>
      <c r="Z58" s="2963">
        <f>'KGCob(b)'!N67</f>
        <v>2927.7981622600964</v>
      </c>
      <c r="AA58" s="1959">
        <f>'KGCob(b)'!O67</f>
        <v>3420.6245600494303</v>
      </c>
      <c r="AB58" s="1958">
        <f>'LuzGrün(b)'!M67</f>
        <v>937.83912186470297</v>
      </c>
      <c r="AC58" s="2963">
        <f>'LuzGrün(b)'!N67</f>
        <v>1023.952621864703</v>
      </c>
      <c r="AD58" s="1959">
        <f>'LuzGrün(b)'!O67</f>
        <v>1134.822030956703</v>
      </c>
      <c r="AE58" s="1958">
        <f>'LuzHeuTr(b)'!M67</f>
        <v>888.35233705684504</v>
      </c>
      <c r="AF58" s="2963">
        <f>'LuzHeuTr(b)'!N67</f>
        <v>971.92661754464984</v>
      </c>
      <c r="AG58" s="1959">
        <f>'LuzHeuTr(b)'!O67</f>
        <v>1085.1884624884547</v>
      </c>
      <c r="AH58" s="1958">
        <f>'Silomais(b)'!M67</f>
        <v>1025.2747122424485</v>
      </c>
      <c r="AI58" s="2963">
        <f>'Silomais(b)'!N67</f>
        <v>1062.1363789091151</v>
      </c>
      <c r="AJ58" s="1959">
        <f>'Silomais(b)'!O67</f>
        <v>1135.9630688325092</v>
      </c>
      <c r="AK58" s="1958">
        <f>'GPS G-E(b)'!M67</f>
        <v>740.82731486726902</v>
      </c>
      <c r="AL58" s="2963">
        <f>'GPS G-E(b)'!N67</f>
        <v>777.22765415298329</v>
      </c>
      <c r="AM58" s="1959">
        <f>'GPS G-E(b)'!O67</f>
        <v>825.34413592259762</v>
      </c>
      <c r="AN58" s="1958">
        <f>'Zwf(b)'!M67</f>
        <v>319.78465186460443</v>
      </c>
      <c r="AO58" s="2963">
        <f>'Zwf(b)'!N67</f>
        <v>329.03680742016002</v>
      </c>
      <c r="AP58" s="1959">
        <f>'Zwf(b)'!O67</f>
        <v>341.03530385797336</v>
      </c>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row>
    <row r="59" spans="1:99" s="747" customFormat="1" ht="15.65" x14ac:dyDescent="0.25">
      <c r="A59" s="1049"/>
      <c r="B59" s="1984" t="s">
        <v>352</v>
      </c>
      <c r="C59" s="1985"/>
      <c r="D59" s="1986"/>
      <c r="E59" s="1960"/>
      <c r="F59" s="1963"/>
      <c r="G59" s="1387"/>
      <c r="H59" s="1387"/>
      <c r="I59" s="1961"/>
      <c r="J59" s="1961"/>
      <c r="K59" s="1961"/>
      <c r="L59" s="1961"/>
      <c r="M59" s="1961"/>
      <c r="N59" s="1387"/>
      <c r="O59" s="1387"/>
      <c r="P59" s="1387"/>
      <c r="Q59" s="2894"/>
      <c r="R59" s="1961"/>
      <c r="S59" s="1960"/>
      <c r="T59" s="1961"/>
      <c r="U59" s="1961"/>
      <c r="V59" s="1961"/>
      <c r="W59" s="1961"/>
      <c r="X59" s="1961"/>
      <c r="Y59" s="1961"/>
      <c r="Z59" s="1961"/>
      <c r="AA59" s="1961"/>
      <c r="AB59" s="1961"/>
      <c r="AC59" s="1961"/>
      <c r="AD59" s="1961"/>
      <c r="AE59" s="1961"/>
      <c r="AF59" s="1961"/>
      <c r="AG59" s="1961"/>
      <c r="AH59" s="1975"/>
      <c r="AI59" s="1961"/>
      <c r="AJ59" s="1961"/>
      <c r="AK59" s="1387"/>
      <c r="AL59" s="1387"/>
      <c r="AM59" s="1387"/>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row>
    <row r="60" spans="1:99" ht="16.3" thickBot="1" x14ac:dyDescent="0.25">
      <c r="B60" s="1944"/>
      <c r="C60" s="1945"/>
      <c r="D60" s="1946"/>
      <c r="E60" s="1971"/>
      <c r="F60" s="1972"/>
      <c r="G60" s="1973"/>
      <c r="H60" s="1973"/>
      <c r="I60" s="1973"/>
      <c r="J60" s="1973"/>
      <c r="K60" s="1973"/>
      <c r="L60" s="1973"/>
      <c r="M60" s="1973"/>
      <c r="N60" s="1973"/>
      <c r="O60" s="1973"/>
      <c r="P60" s="1973"/>
      <c r="Q60" s="1974"/>
      <c r="R60" s="1973"/>
      <c r="S60" s="1971"/>
      <c r="T60" s="1973"/>
      <c r="U60" s="1973"/>
      <c r="V60" s="1973"/>
      <c r="W60" s="1973"/>
      <c r="X60" s="1973"/>
      <c r="Y60" s="1973"/>
      <c r="Z60" s="1973"/>
      <c r="AA60" s="1972"/>
      <c r="AB60" s="1972"/>
      <c r="AC60" s="1972"/>
      <c r="AD60" s="1972"/>
      <c r="AE60" s="1972"/>
      <c r="AF60" s="1972"/>
      <c r="AG60" s="1972"/>
      <c r="AH60" s="1976"/>
      <c r="AI60" s="1972"/>
      <c r="AJ60" s="1972"/>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row>
    <row r="61" spans="1:99" x14ac:dyDescent="0.2">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row>
    <row r="62" spans="1:99" x14ac:dyDescent="0.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row>
    <row r="63" spans="1:99" x14ac:dyDescent="0.2">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row>
    <row r="64" spans="1:99" x14ac:dyDescent="0.2">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row>
    <row r="65" spans="55:98" x14ac:dyDescent="0.2">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row>
    <row r="66" spans="55:98" x14ac:dyDescent="0.2">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row>
    <row r="67" spans="55:98" x14ac:dyDescent="0.2">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row>
    <row r="68" spans="55:98" x14ac:dyDescent="0.2">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row>
    <row r="69" spans="55:98" x14ac:dyDescent="0.2">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row>
    <row r="70" spans="55:98" x14ac:dyDescent="0.2">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row>
    <row r="71" spans="55:98" x14ac:dyDescent="0.2">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row>
    <row r="72" spans="55:98" x14ac:dyDescent="0.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row>
    <row r="73" spans="55:98" x14ac:dyDescent="0.2">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row>
    <row r="74" spans="55:98" x14ac:dyDescent="0.2">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row>
    <row r="75" spans="55:98" x14ac:dyDescent="0.2">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row>
    <row r="76" spans="55:98" x14ac:dyDescent="0.2">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row>
    <row r="77" spans="55:98" x14ac:dyDescent="0.2">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row>
    <row r="78" spans="55:98" x14ac:dyDescent="0.2">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row>
    <row r="79" spans="55:98" x14ac:dyDescent="0.2">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row>
    <row r="80" spans="55:98" x14ac:dyDescent="0.2">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row>
    <row r="81" spans="55:98" x14ac:dyDescent="0.2">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row>
    <row r="82" spans="55:98" x14ac:dyDescent="0.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row>
    <row r="83" spans="55:98" x14ac:dyDescent="0.2">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row>
    <row r="84" spans="55:98" x14ac:dyDescent="0.2">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row>
    <row r="85" spans="55:98" x14ac:dyDescent="0.2">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row>
    <row r="86" spans="55:98" x14ac:dyDescent="0.2">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row>
    <row r="87" spans="55:98" x14ac:dyDescent="0.2">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row>
    <row r="88" spans="55:98" x14ac:dyDescent="0.2">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row>
    <row r="89" spans="55:98" x14ac:dyDescent="0.2">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row>
    <row r="90" spans="55:98" x14ac:dyDescent="0.2">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row>
    <row r="91" spans="55:98" x14ac:dyDescent="0.2">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row>
    <row r="92" spans="55:98" x14ac:dyDescent="0.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row>
    <row r="93" spans="55:98" x14ac:dyDescent="0.2">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row>
    <row r="94" spans="55:98" x14ac:dyDescent="0.2">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row>
    <row r="95" spans="55:98" x14ac:dyDescent="0.2">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row>
    <row r="96" spans="55:98" x14ac:dyDescent="0.2">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row>
    <row r="97" spans="55:98" x14ac:dyDescent="0.2">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row>
    <row r="98" spans="55:98" x14ac:dyDescent="0.2">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row>
    <row r="99" spans="55:98" x14ac:dyDescent="0.2">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row>
    <row r="100" spans="55:98" x14ac:dyDescent="0.2">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row>
    <row r="101" spans="55:98" x14ac:dyDescent="0.2">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row>
    <row r="102" spans="55:98" x14ac:dyDescent="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row>
    <row r="103" spans="55:98" x14ac:dyDescent="0.2">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row>
    <row r="104" spans="55:98" x14ac:dyDescent="0.2">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row>
    <row r="105" spans="55:98" x14ac:dyDescent="0.2">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row>
    <row r="106" spans="55:98" x14ac:dyDescent="0.2">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row>
    <row r="107" spans="55:98" x14ac:dyDescent="0.2">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row>
    <row r="108" spans="55:98" x14ac:dyDescent="0.2">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row>
    <row r="109" spans="55:98" x14ac:dyDescent="0.2">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row>
    <row r="110" spans="55:98" x14ac:dyDescent="0.2">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row>
    <row r="111" spans="55:98" x14ac:dyDescent="0.2">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row>
    <row r="112" spans="55:98" x14ac:dyDescent="0.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row>
    <row r="113" spans="55:98" x14ac:dyDescent="0.2">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row>
    <row r="114" spans="55:98" x14ac:dyDescent="0.2">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row>
    <row r="115" spans="55:98" x14ac:dyDescent="0.2">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row>
    <row r="116" spans="55:98" x14ac:dyDescent="0.2">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row>
    <row r="117" spans="55:98" x14ac:dyDescent="0.2">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row>
    <row r="118" spans="55:98" x14ac:dyDescent="0.2">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row>
    <row r="119" spans="55:98" x14ac:dyDescent="0.2">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row>
    <row r="120" spans="55:98" x14ac:dyDescent="0.2">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row>
    <row r="121" spans="55:98" x14ac:dyDescent="0.2">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row>
    <row r="122" spans="55:98" x14ac:dyDescent="0.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row>
    <row r="123" spans="55:98" x14ac:dyDescent="0.2">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row>
    <row r="124" spans="55:98" x14ac:dyDescent="0.2">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row>
    <row r="125" spans="55:98" x14ac:dyDescent="0.2">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row>
    <row r="126" spans="55:98" x14ac:dyDescent="0.2">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row>
    <row r="127" spans="55:98" x14ac:dyDescent="0.2">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row>
    <row r="128" spans="55:98" x14ac:dyDescent="0.2">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row>
    <row r="129" spans="55:98" x14ac:dyDescent="0.2">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row>
    <row r="130" spans="55:98" x14ac:dyDescent="0.2">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row>
    <row r="131" spans="55:98" x14ac:dyDescent="0.2">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row>
    <row r="132" spans="55:98" x14ac:dyDescent="0.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row>
    <row r="133" spans="55:98" x14ac:dyDescent="0.2">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row>
    <row r="134" spans="55:98" x14ac:dyDescent="0.2">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row>
    <row r="135" spans="55:98" x14ac:dyDescent="0.2">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row>
    <row r="136" spans="55:98" x14ac:dyDescent="0.2">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row>
    <row r="137" spans="55:98" x14ac:dyDescent="0.2">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row>
    <row r="138" spans="55:98" x14ac:dyDescent="0.2">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row>
    <row r="139" spans="55:98" x14ac:dyDescent="0.2">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row>
    <row r="140" spans="55:98" x14ac:dyDescent="0.2">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row>
    <row r="141" spans="55:98" x14ac:dyDescent="0.2">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row>
    <row r="142" spans="55:98" x14ac:dyDescent="0.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row>
    <row r="143" spans="55:98" x14ac:dyDescent="0.2">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row>
    <row r="144" spans="55:98" x14ac:dyDescent="0.2">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row>
    <row r="145" spans="55:98" x14ac:dyDescent="0.2">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row>
    <row r="146" spans="55:98" x14ac:dyDescent="0.2">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row>
    <row r="147" spans="55:98" x14ac:dyDescent="0.2">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row>
    <row r="148" spans="55:98" x14ac:dyDescent="0.2">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row>
    <row r="149" spans="55:98" x14ac:dyDescent="0.2">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row>
    <row r="150" spans="55:98" x14ac:dyDescent="0.2">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row>
    <row r="151" spans="55:98" x14ac:dyDescent="0.2">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row>
    <row r="152" spans="55:98" x14ac:dyDescent="0.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row>
    <row r="153" spans="55:98" x14ac:dyDescent="0.2">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row>
    <row r="154" spans="55:98" x14ac:dyDescent="0.2">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row>
    <row r="155" spans="55:98" x14ac:dyDescent="0.2">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row>
    <row r="156" spans="55:98" x14ac:dyDescent="0.2">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row>
    <row r="157" spans="55:98" x14ac:dyDescent="0.2">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row>
    <row r="158" spans="55:98" x14ac:dyDescent="0.2">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row>
    <row r="159" spans="55:98" x14ac:dyDescent="0.2">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row>
    <row r="160" spans="55:98" x14ac:dyDescent="0.2">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row>
    <row r="161" spans="55:98" x14ac:dyDescent="0.2">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row>
    <row r="162" spans="55:98" x14ac:dyDescent="0.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row>
    <row r="163" spans="55:98" x14ac:dyDescent="0.2">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row>
    <row r="164" spans="55:98" x14ac:dyDescent="0.2">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row>
    <row r="165" spans="55:98" x14ac:dyDescent="0.2">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row>
    <row r="166" spans="55:98" x14ac:dyDescent="0.2">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row>
    <row r="167" spans="55:98" x14ac:dyDescent="0.2">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row>
    <row r="168" spans="55:98" x14ac:dyDescent="0.2">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row>
    <row r="169" spans="55:98" x14ac:dyDescent="0.2">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row>
    <row r="170" spans="55:98" x14ac:dyDescent="0.2">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row>
    <row r="171" spans="55:98" x14ac:dyDescent="0.2">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row>
    <row r="172" spans="55:98" x14ac:dyDescent="0.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row>
    <row r="173" spans="55:98" x14ac:dyDescent="0.2">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row>
    <row r="174" spans="55:98" x14ac:dyDescent="0.2">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row>
    <row r="175" spans="55:98" x14ac:dyDescent="0.2">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row>
    <row r="176" spans="55:98" x14ac:dyDescent="0.2">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row>
    <row r="177" spans="55:98" x14ac:dyDescent="0.2">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row>
    <row r="178" spans="55:98" x14ac:dyDescent="0.2">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row>
    <row r="179" spans="55:98" x14ac:dyDescent="0.2">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row>
    <row r="180" spans="55:98" x14ac:dyDescent="0.2">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row>
    <row r="181" spans="55:98" x14ac:dyDescent="0.2">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row>
    <row r="182" spans="55:98" x14ac:dyDescent="0.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row>
  </sheetData>
  <sheetProtection sheet="1" objects="1" scenarios="1"/>
  <customSheetViews>
    <customSheetView guid="{32760361-675F-4FBF-A5CA-B0597C10371F}" scale="59" showGridLines="0" fitToPage="1" hiddenRows="1" hiddenColumns="1">
      <rowBreaks count="1" manualBreakCount="1">
        <brk id="17" max="39" man="1"/>
      </rowBreaks>
      <colBreaks count="5" manualBreakCount="5">
        <brk id="18" min="1" max="61" man="1"/>
        <brk id="33" min="1" max="60" man="1"/>
        <brk id="42" min="1" max="61" man="1"/>
        <brk id="54" min="1" max="60" man="1"/>
        <brk id="72" min="1" max="60" man="1"/>
      </colBreaks>
      <pageMargins left="0.59055118110236227" right="0.19685039370078741" top="0" bottom="0.15748031496062992" header="0" footer="0.15748031496062992"/>
      <printOptions verticalCentered="1"/>
      <pageSetup paperSize="9" scale="51" firstPageNumber="6" fitToWidth="0" orientation="landscape" useFirstPageNumber="1" r:id="rId1"/>
      <headerFooter alignWithMargins="0">
        <oddFooter>&amp;L&amp;12LEL Schwäbisch Gmünd (Abtlg. II)
LAZBW  Aulendorf&amp;C&amp;"Arial,Fett"&amp;14&amp;P&amp;R&amp;14&amp;F   &amp;A</oddFooter>
      </headerFooter>
    </customSheetView>
  </customSheetViews>
  <mergeCells count="13">
    <mergeCell ref="AN3:AP3"/>
    <mergeCell ref="S2:AP2"/>
    <mergeCell ref="S3:U3"/>
    <mergeCell ref="V3:X3"/>
    <mergeCell ref="E3:F3"/>
    <mergeCell ref="K3:M3"/>
    <mergeCell ref="N3:Q3"/>
    <mergeCell ref="G3:J3"/>
    <mergeCell ref="AH3:AJ3"/>
    <mergeCell ref="Y3:AA3"/>
    <mergeCell ref="AK3:AM3"/>
    <mergeCell ref="AB3:AD3"/>
    <mergeCell ref="AE3:AG3"/>
  </mergeCells>
  <phoneticPr fontId="0" type="noConversion"/>
  <hyperlinks>
    <hyperlink ref="B1:F1" location="Inhalt!A1:A10" display="zurück zum Inhaltsverzeichnis"/>
  </hyperlinks>
  <printOptions verticalCentered="1"/>
  <pageMargins left="0.59055118110236227" right="0.19685039370078741" top="0" bottom="0.15748031496062992" header="0" footer="0.15748031496062992"/>
  <pageSetup paperSize="9" scale="55" firstPageNumber="6" fitToWidth="0" orientation="landscape" useFirstPageNumber="1" r:id="rId2"/>
  <headerFooter alignWithMargins="0">
    <oddFooter>&amp;L&amp;12LEL Schwäbisch Gmünd (Abtlg. II)
LAZBW  Aulendorf&amp;C&amp;"Arial,Fett"&amp;14&amp;P&amp;R&amp;14&amp;F   &amp;A</oddFooter>
  </headerFooter>
  <rowBreaks count="1" manualBreakCount="1">
    <brk id="17" max="39" man="1"/>
  </rowBreaks>
  <colBreaks count="5" manualBreakCount="5">
    <brk id="18" min="1" max="61" man="1"/>
    <brk id="33" min="1" max="60" man="1"/>
    <brk id="42" min="1" max="61" man="1"/>
    <brk id="54" min="1" max="60" man="1"/>
    <brk id="72" min="1" max="60" man="1"/>
  </colBreaks>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1254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1145</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Umtriebsweide</v>
      </c>
      <c r="N5" s="2699" t="str">
        <f>VLOOKUP(W$5,$S$4:$T$13,2)</f>
        <v>Umtriebsweide</v>
      </c>
      <c r="O5" s="2699" t="str">
        <f>VLOOKUP(X$5,$S$4:$T$13,2)</f>
        <v>Umtriebsweide</v>
      </c>
      <c r="P5" s="2699">
        <f>VLOOKUP(Y$5,$S$4:$T$13,2)</f>
        <v>0</v>
      </c>
      <c r="Q5" s="2700">
        <f>VLOOKUP(Z$5,$S$4:$T$13,2)</f>
        <v>0</v>
      </c>
      <c r="R5" s="470"/>
      <c r="S5" s="2642">
        <v>2</v>
      </c>
      <c r="T5" s="2672" t="str">
        <f>Energ.!G$57</f>
        <v>Umtriebsweide</v>
      </c>
      <c r="U5" s="2643"/>
      <c r="V5" s="2639">
        <v>2</v>
      </c>
      <c r="W5" s="2118">
        <v>2</v>
      </c>
      <c r="X5" s="2118">
        <v>2</v>
      </c>
      <c r="Y5" s="2118">
        <v>10</v>
      </c>
      <c r="Z5" s="2119">
        <v>10</v>
      </c>
      <c r="AE5" s="434"/>
      <c r="AF5" s="434"/>
      <c r="AG5" s="434"/>
    </row>
    <row r="6" spans="1:45" s="433" customFormat="1" ht="18.7" customHeight="1" x14ac:dyDescent="0.2">
      <c r="A6" s="964"/>
      <c r="B6" s="848"/>
      <c r="C6" s="849"/>
      <c r="D6" s="850" t="s">
        <v>119</v>
      </c>
      <c r="E6" s="851"/>
      <c r="F6" s="851"/>
      <c r="G6" s="851"/>
      <c r="H6" s="851"/>
      <c r="I6" s="852" t="s">
        <v>72</v>
      </c>
      <c r="J6" s="448"/>
      <c r="K6" s="2190">
        <v>65</v>
      </c>
      <c r="L6" s="1288"/>
      <c r="M6" s="853">
        <f>$K$6*M7/100</f>
        <v>29.25</v>
      </c>
      <c r="N6" s="854">
        <f>$K$6*N7/100</f>
        <v>22.75</v>
      </c>
      <c r="O6" s="854">
        <f>$K$6*O7/100</f>
        <v>13</v>
      </c>
      <c r="P6" s="854">
        <f>$K$6*P7/100</f>
        <v>0</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45</v>
      </c>
      <c r="N7" s="2675">
        <v>35</v>
      </c>
      <c r="O7" s="2675">
        <v>20</v>
      </c>
      <c r="P7" s="2675"/>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20</v>
      </c>
      <c r="L8" s="1224"/>
      <c r="M8" s="2646">
        <f>HLOOKUP(V$5,Energ.!$F$58:$N$66,Energ.!$A59)*100</f>
        <v>20</v>
      </c>
      <c r="N8" s="2647">
        <f>HLOOKUP(W$5,Energ.!$F$58:$N$66,Energ.!$A59)*100</f>
        <v>20</v>
      </c>
      <c r="O8" s="2647">
        <f>HLOOKUP(X$5,Energ.!$F$58:$N$66,Energ.!$A59)*100</f>
        <v>20</v>
      </c>
      <c r="P8" s="2647">
        <f>HLOOKUP(Y$5,Energ.!$F$58:$N$66,Energ.!$A59)*100</f>
        <v>0</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19.000000000000004</v>
      </c>
      <c r="L10" s="1224"/>
      <c r="M10" s="2652">
        <f>HLOOKUP(V$5,Energ.!$F$58:$N$66,Energ.!$A62)*100</f>
        <v>19</v>
      </c>
      <c r="N10" s="2653">
        <f>HLOOKUP(W$5,Energ.!$F$58:$N$66,Energ.!$A62)*100</f>
        <v>19</v>
      </c>
      <c r="O10" s="2658">
        <f>HLOOKUP(X$5,Energ.!$F$58:$N$66,Energ.!$A62)*100</f>
        <v>19</v>
      </c>
      <c r="P10" s="2653">
        <f>HLOOKUP(Y$5,Energ.!$F$58:$N$66,Energ.!$A62)*100</f>
        <v>0</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19.000000000000004</v>
      </c>
      <c r="L11" s="1228"/>
      <c r="M11" s="2649">
        <f>HLOOKUP(V$5,Energ.!$F$58:$N$66,Energ.!$A63)*100</f>
        <v>19</v>
      </c>
      <c r="N11" s="2650">
        <f>HLOOKUP(W$5,Energ.!$F$58:$N$66,Energ.!$A63)*100</f>
        <v>19</v>
      </c>
      <c r="O11" s="2650">
        <f>HLOOKUP(X$5,Energ.!$F$58:$N$66,Energ.!$A63)*100</f>
        <v>19</v>
      </c>
      <c r="P11" s="2650">
        <f>HLOOKUP(Y$5,Energ.!$F$58:$N$66,Energ.!$A63)*100</f>
        <v>0</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51.999999999999993</v>
      </c>
      <c r="L14" s="1233"/>
      <c r="M14" s="865">
        <f>M6*(100-M8)/100</f>
        <v>23.4</v>
      </c>
      <c r="N14" s="866">
        <f>N6*(100-N8)/100</f>
        <v>18.2</v>
      </c>
      <c r="O14" s="866">
        <f>O6*(100-O8)/100</f>
        <v>10.4</v>
      </c>
      <c r="P14" s="866">
        <f>P6*(100-P8)/100</f>
        <v>0</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273.68421052631578</v>
      </c>
      <c r="L15" s="1233"/>
      <c r="M15" s="865">
        <f>IF(M10=0,0,M14/M10*100)</f>
        <v>123.15789473684208</v>
      </c>
      <c r="N15" s="866">
        <f>IF(N10=0,0,N14/N10*100)</f>
        <v>95.78947368421052</v>
      </c>
      <c r="O15" s="866">
        <f>IF(O10=0,0,O14/O10*100)</f>
        <v>54.736842105263165</v>
      </c>
      <c r="P15" s="866">
        <f>IF(P10=0,0,P14/P10*100)</f>
        <v>0</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51.999999999999993</v>
      </c>
      <c r="L17" s="1235"/>
      <c r="M17" s="865">
        <f>M14*(100-M9)/100</f>
        <v>23.4</v>
      </c>
      <c r="N17" s="870">
        <f>N14*(100-N9)/100</f>
        <v>18.2</v>
      </c>
      <c r="O17" s="870">
        <f>O14*(100-O9)/100</f>
        <v>10.4</v>
      </c>
      <c r="P17" s="870">
        <f>P14*(100-P9)/100</f>
        <v>0</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273.68421052631578</v>
      </c>
      <c r="L18" s="1235"/>
      <c r="M18" s="865">
        <f>IF(M11=0,0,M17/M11*100)</f>
        <v>123.15789473684208</v>
      </c>
      <c r="N18" s="870">
        <f>IF(N11=0,0,N17/N11*100)</f>
        <v>95.78947368421052</v>
      </c>
      <c r="O18" s="870">
        <f>IF(O11=0,0,O17/O11*100)</f>
        <v>54.736842105263165</v>
      </c>
      <c r="P18" s="870">
        <f>IF(P11=0,0,P17/P11*100)</f>
        <v>0</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6.05</v>
      </c>
      <c r="L20" s="1238"/>
      <c r="M20" s="254">
        <v>6.2</v>
      </c>
      <c r="N20" s="255">
        <v>6</v>
      </c>
      <c r="O20" s="255">
        <v>5.8</v>
      </c>
      <c r="P20" s="255"/>
      <c r="Q20" s="256"/>
    </row>
    <row r="21" spans="1:34" s="433" customFormat="1" ht="14.95" customHeight="1" x14ac:dyDescent="0.2">
      <c r="A21" s="830"/>
      <c r="B21" s="876"/>
      <c r="C21" s="849"/>
      <c r="D21" s="78"/>
      <c r="E21" s="434"/>
      <c r="F21" s="877" t="s">
        <v>134</v>
      </c>
      <c r="G21" s="427">
        <v>0.6</v>
      </c>
      <c r="H21" s="852"/>
      <c r="J21" s="877" t="s">
        <v>135</v>
      </c>
      <c r="K21" s="1229">
        <f>(M$17*M21+N$17*N21+O$17*O21+P$17*P21+Q$17*Q21)/K$17</f>
        <v>10.083333333333336</v>
      </c>
      <c r="L21" s="1238"/>
      <c r="M21" s="428">
        <f>IF($G21=0,0,M20/$G21)</f>
        <v>10.333333333333334</v>
      </c>
      <c r="N21" s="429">
        <f>IF($G21=0,0,N20/$G21)</f>
        <v>10</v>
      </c>
      <c r="O21" s="429">
        <f>IF($G21=0,0,O20/$G21)</f>
        <v>9.6666666666666661</v>
      </c>
      <c r="P21" s="429">
        <f>IF($G21=0,0,P20/$G21)</f>
        <v>0</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3146</v>
      </c>
      <c r="L22" s="1240"/>
      <c r="M22" s="385">
        <f t="shared" ref="M22:Q23" si="0">M$17*M20*10</f>
        <v>1450.7999999999997</v>
      </c>
      <c r="N22" s="387">
        <f t="shared" si="0"/>
        <v>1092</v>
      </c>
      <c r="O22" s="387">
        <f t="shared" si="0"/>
        <v>603.20000000000005</v>
      </c>
      <c r="P22" s="387">
        <f t="shared" si="0"/>
        <v>0</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5243.333333333333</v>
      </c>
      <c r="L23" s="1242"/>
      <c r="M23" s="386">
        <f t="shared" si="0"/>
        <v>2418</v>
      </c>
      <c r="N23" s="388">
        <f t="shared" si="0"/>
        <v>1820</v>
      </c>
      <c r="O23" s="388">
        <f t="shared" si="0"/>
        <v>1005.3333333333333</v>
      </c>
      <c r="P23" s="388">
        <f t="shared" si="0"/>
        <v>0</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130.5</v>
      </c>
      <c r="N25" s="870">
        <f>$L25*N7/100</f>
        <v>101.5</v>
      </c>
      <c r="O25" s="870">
        <f>$L25*O7/100</f>
        <v>58</v>
      </c>
      <c r="P25" s="870">
        <f>$L25*P7/100</f>
        <v>0</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121.5</v>
      </c>
      <c r="N30" s="870">
        <f>$L30*N7/100</f>
        <v>94.5</v>
      </c>
      <c r="O30" s="870">
        <f>$L30*O7/100</f>
        <v>54</v>
      </c>
      <c r="P30" s="870">
        <f>$L30*P7/100</f>
        <v>0</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0</v>
      </c>
      <c r="M32" s="894">
        <f>$L32*M$7/100</f>
        <v>0</v>
      </c>
      <c r="N32" s="895">
        <f>$L32*N$7/100</f>
        <v>0</v>
      </c>
      <c r="O32" s="895">
        <f>$L32*O$7/100</f>
        <v>0</v>
      </c>
      <c r="P32" s="895">
        <f>$L32*P$7/100</f>
        <v>0</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173.50199999999998</v>
      </c>
      <c r="M34" s="894">
        <f>$L34*M$7/100</f>
        <v>78.07589999999999</v>
      </c>
      <c r="N34" s="895">
        <f>$L34*N$7/100</f>
        <v>60.725699999999996</v>
      </c>
      <c r="O34" s="895">
        <f>$L34*O$7/100</f>
        <v>34.700399999999995</v>
      </c>
      <c r="P34" s="895">
        <f>$L34*P$7/100</f>
        <v>0</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1.8</v>
      </c>
      <c r="I36" s="112">
        <v>-45</v>
      </c>
      <c r="J36" s="913"/>
      <c r="K36" s="1255">
        <f>H36*$K$14+I36</f>
        <v>48.599999999999994</v>
      </c>
      <c r="L36" s="1256">
        <f>K36*$F36</f>
        <v>173.50199999999998</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3156" t="s">
        <v>1415</v>
      </c>
      <c r="H37" s="3152"/>
      <c r="I37" s="3153"/>
      <c r="J37" s="913"/>
      <c r="K37" s="1255">
        <f>H37*$K$14+I37</f>
        <v>0</v>
      </c>
      <c r="L37" s="1256">
        <f>K37*$F37</f>
        <v>0</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3156">
        <v>2017</v>
      </c>
      <c r="H38" s="3152"/>
      <c r="I38" s="3153"/>
      <c r="J38" s="913"/>
      <c r="K38" s="1255">
        <f>H38*$K$14+I38</f>
        <v>0</v>
      </c>
      <c r="L38" s="1256">
        <f>K38*$F38</f>
        <v>0</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3157" t="s">
        <v>1416</v>
      </c>
      <c r="H39" s="3154"/>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27.326666860416005</v>
      </c>
      <c r="M43" s="931">
        <f>SUM(Z46:Z56)</f>
        <v>9.1088889534720021</v>
      </c>
      <c r="N43" s="931">
        <f>SUM(AA46:AA56)</f>
        <v>9.1088889534720021</v>
      </c>
      <c r="O43" s="931">
        <f>SUM(AB46:AB56)</f>
        <v>9.1088889534720021</v>
      </c>
      <c r="P43" s="931">
        <f>SUM(AC46:AC56)</f>
        <v>0</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0</v>
      </c>
      <c r="K46" s="1266">
        <f t="shared" ref="K46:K56" si="1">J46*H46</f>
        <v>0</v>
      </c>
      <c r="L46" s="1256">
        <f t="shared" ref="L46:L56" si="2">J46*I46</f>
        <v>0</v>
      </c>
      <c r="M46" s="259"/>
      <c r="N46" s="260"/>
      <c r="O46" s="260"/>
      <c r="P46" s="260"/>
      <c r="Q46" s="261"/>
      <c r="R46" s="449"/>
      <c r="S46" s="449"/>
      <c r="T46" s="406">
        <f t="shared" ref="T46:X56" si="3">IF(M46&lt;&gt;0,M46*$H46,0)</f>
        <v>0</v>
      </c>
      <c r="U46" s="407">
        <f t="shared" si="3"/>
        <v>0</v>
      </c>
      <c r="V46" s="407">
        <f t="shared" si="3"/>
        <v>0</v>
      </c>
      <c r="W46" s="407">
        <f t="shared" si="3"/>
        <v>0</v>
      </c>
      <c r="X46" s="408">
        <f t="shared" si="3"/>
        <v>0</v>
      </c>
      <c r="Y46" s="434"/>
      <c r="Z46" s="406">
        <f t="shared" ref="Z46:AD56" si="4">IF(M46&lt;&gt;0,M46*$I46,0)</f>
        <v>0</v>
      </c>
      <c r="AA46" s="407">
        <f t="shared" si="4"/>
        <v>0</v>
      </c>
      <c r="AB46" s="407">
        <f t="shared" si="4"/>
        <v>0</v>
      </c>
      <c r="AC46" s="407">
        <f t="shared" si="4"/>
        <v>0</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0.99</v>
      </c>
      <c r="K47" s="1266">
        <f t="shared" si="1"/>
        <v>0.47519999999999996</v>
      </c>
      <c r="L47" s="1256">
        <f t="shared" si="2"/>
        <v>8.0769353132160013</v>
      </c>
      <c r="M47" s="259">
        <v>0.33</v>
      </c>
      <c r="N47" s="260">
        <v>0.33</v>
      </c>
      <c r="O47" s="260">
        <v>0.33</v>
      </c>
      <c r="P47" s="260"/>
      <c r="Q47" s="261"/>
      <c r="R47" s="449"/>
      <c r="S47" s="449"/>
      <c r="T47" s="406">
        <f t="shared" si="3"/>
        <v>0.15840000000000001</v>
      </c>
      <c r="U47" s="407">
        <f t="shared" si="3"/>
        <v>0.15840000000000001</v>
      </c>
      <c r="V47" s="407">
        <f t="shared" si="3"/>
        <v>0.15840000000000001</v>
      </c>
      <c r="W47" s="407">
        <f t="shared" si="3"/>
        <v>0</v>
      </c>
      <c r="X47" s="408">
        <f t="shared" si="3"/>
        <v>0</v>
      </c>
      <c r="Y47" s="434"/>
      <c r="Z47" s="406">
        <f t="shared" si="4"/>
        <v>2.6923117710720006</v>
      </c>
      <c r="AA47" s="407">
        <f t="shared" si="4"/>
        <v>2.6923117710720006</v>
      </c>
      <c r="AB47" s="407">
        <f t="shared" si="4"/>
        <v>2.6923117710720006</v>
      </c>
      <c r="AC47" s="407">
        <f t="shared" si="4"/>
        <v>0</v>
      </c>
      <c r="AD47" s="408">
        <f t="shared" si="4"/>
        <v>0</v>
      </c>
      <c r="AE47" s="434"/>
      <c r="AF47" s="434"/>
      <c r="AG47" s="434"/>
      <c r="AH47" s="434"/>
      <c r="AI47" s="434"/>
      <c r="AJ47" s="434"/>
      <c r="AK47" s="434"/>
      <c r="AL47" s="434"/>
      <c r="AM47" s="434"/>
    </row>
    <row r="48" spans="1:39" s="436" customFormat="1" ht="14.9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0.99</v>
      </c>
      <c r="K48" s="1266">
        <f t="shared" si="1"/>
        <v>1.1879999999999999</v>
      </c>
      <c r="L48" s="1256">
        <f t="shared" si="2"/>
        <v>19.2497315472</v>
      </c>
      <c r="M48" s="259">
        <v>0.33</v>
      </c>
      <c r="N48" s="260">
        <v>0.33</v>
      </c>
      <c r="O48" s="260">
        <v>0.33</v>
      </c>
      <c r="P48" s="260"/>
      <c r="Q48" s="261"/>
      <c r="R48" s="449"/>
      <c r="S48" s="449"/>
      <c r="T48" s="406">
        <f t="shared" si="3"/>
        <v>0.39600000000000002</v>
      </c>
      <c r="U48" s="407">
        <f t="shared" si="3"/>
        <v>0.39600000000000002</v>
      </c>
      <c r="V48" s="407">
        <f t="shared" si="3"/>
        <v>0.39600000000000002</v>
      </c>
      <c r="W48" s="407">
        <f t="shared" si="3"/>
        <v>0</v>
      </c>
      <c r="X48" s="408">
        <f t="shared" si="3"/>
        <v>0</v>
      </c>
      <c r="Y48" s="434"/>
      <c r="Z48" s="406">
        <f t="shared" si="4"/>
        <v>6.4165771824000011</v>
      </c>
      <c r="AA48" s="407">
        <f t="shared" si="4"/>
        <v>6.4165771824000011</v>
      </c>
      <c r="AB48" s="407">
        <f t="shared" si="4"/>
        <v>6.4165771824000011</v>
      </c>
      <c r="AC48" s="407">
        <f t="shared" si="4"/>
        <v>0</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23</v>
      </c>
      <c r="C50" s="103"/>
      <c r="D50" s="132"/>
      <c r="E50" s="438"/>
      <c r="F50" s="438"/>
      <c r="G50" s="399">
        <f>IF($B50=0,0,VLOOKUP($B50,Arbeitsgänge!$B$26:$M$78,6))</f>
        <v>0</v>
      </c>
      <c r="H50" s="424">
        <f>IF($B50=0,0,VLOOKUP($B50,Arbeitsgänge!$B$26:$O$78,11))</f>
        <v>12</v>
      </c>
      <c r="I50" s="400">
        <f>IF($B50=0,0,VLOOKUP($B50,Arbeitsgänge!$B$26:$T$79,12))</f>
        <v>0</v>
      </c>
      <c r="J50" s="493">
        <f>SUM(M50:Q50)</f>
        <v>0.99900000000000011</v>
      </c>
      <c r="K50" s="1266">
        <f>J50*H50</f>
        <v>11.988000000000001</v>
      </c>
      <c r="L50" s="1256">
        <f t="shared" si="2"/>
        <v>0</v>
      </c>
      <c r="M50" s="259">
        <v>0.33300000000000002</v>
      </c>
      <c r="N50" s="260">
        <v>0.33300000000000002</v>
      </c>
      <c r="O50" s="260">
        <v>0.33300000000000002</v>
      </c>
      <c r="P50" s="260"/>
      <c r="Q50" s="261"/>
      <c r="R50" s="449"/>
      <c r="S50" s="449"/>
      <c r="T50" s="406">
        <f t="shared" si="3"/>
        <v>3.9960000000000004</v>
      </c>
      <c r="U50" s="407">
        <f t="shared" si="3"/>
        <v>3.9960000000000004</v>
      </c>
      <c r="V50" s="407">
        <f t="shared" si="3"/>
        <v>3.9960000000000004</v>
      </c>
      <c r="W50" s="407">
        <f t="shared" si="3"/>
        <v>0</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13.651200000000003</v>
      </c>
      <c r="L57" s="1270"/>
      <c r="M57" s="944">
        <f>SUM(T46:T56)</f>
        <v>4.5504000000000007</v>
      </c>
      <c r="N57" s="945">
        <f>SUM(U46:U56)</f>
        <v>4.5504000000000007</v>
      </c>
      <c r="O57" s="945">
        <f>SUM(V46:V56)</f>
        <v>4.5504000000000007</v>
      </c>
      <c r="P57" s="945">
        <f>SUM(W46:W56)</f>
        <v>0</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10</v>
      </c>
      <c r="H58" s="800" t="s">
        <v>487</v>
      </c>
      <c r="I58" s="800"/>
      <c r="J58" s="950"/>
      <c r="K58" s="1271">
        <f>SUM(M58:Q58)</f>
        <v>15.016320000000004</v>
      </c>
      <c r="L58" s="1272"/>
      <c r="M58" s="951">
        <f>M57+M57*$G$58/100</f>
        <v>5.005440000000001</v>
      </c>
      <c r="N58" s="952">
        <f>N57+N57*$G$58/100</f>
        <v>5.005440000000001</v>
      </c>
      <c r="O58" s="952">
        <f>O57+O57*$G$58/100</f>
        <v>5.005440000000001</v>
      </c>
      <c r="P58" s="952">
        <f>P57+P57*$G$58/100</f>
        <v>0</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0</v>
      </c>
      <c r="M59" s="886">
        <f>SUM(T61:T63)</f>
        <v>0</v>
      </c>
      <c r="N59" s="870">
        <f>SUM(U61:U63)</f>
        <v>0</v>
      </c>
      <c r="O59" s="870">
        <f>SUM(V61:V63)</f>
        <v>0</v>
      </c>
      <c r="P59" s="870">
        <f>SUM(W61:W63)</f>
        <v>0</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v>
      </c>
      <c r="K61" s="2077"/>
      <c r="L61" s="1931">
        <f>J61*H61</f>
        <v>0</v>
      </c>
      <c r="M61" s="2082"/>
      <c r="N61" s="2075"/>
      <c r="O61" s="2075"/>
      <c r="P61" s="2075"/>
      <c r="Q61" s="1932"/>
      <c r="R61" s="449"/>
      <c r="S61" s="449"/>
      <c r="T61" s="494">
        <f>IF(M61&lt;&gt;0,M61*$H61,0)</f>
        <v>0</v>
      </c>
      <c r="U61" s="494">
        <f t="shared" ref="U61:X63" si="6">IF(N61&lt;&gt;0,N61*$H61,0)</f>
        <v>0</v>
      </c>
      <c r="V61" s="494">
        <f t="shared" si="6"/>
        <v>0</v>
      </c>
      <c r="W61" s="494">
        <f t="shared" si="6"/>
        <v>0</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c r="E62" s="2078"/>
      <c r="F62" s="2078"/>
      <c r="G62" s="2243"/>
      <c r="H62" s="755">
        <f>G62*(100+$H$59)/100</f>
        <v>0</v>
      </c>
      <c r="I62" s="756"/>
      <c r="J62" s="2070">
        <f>SUM(M62:Q62)</f>
        <v>20.2729044834308</v>
      </c>
      <c r="K62" s="1718"/>
      <c r="L62" s="1284">
        <f>J62*H62</f>
        <v>0</v>
      </c>
      <c r="M62" s="2244"/>
      <c r="N62" s="2245"/>
      <c r="O62" s="2245">
        <f t="shared" ref="O62:Q62" si="7">O15/2.7</f>
        <v>20.2729044834308</v>
      </c>
      <c r="P62" s="2245">
        <f t="shared" si="7"/>
        <v>0</v>
      </c>
      <c r="Q62" s="2246">
        <f t="shared" si="7"/>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0.19000000000000003</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37.35</v>
      </c>
      <c r="N67" s="870">
        <f t="shared" si="8"/>
        <v>29.049999999999997</v>
      </c>
      <c r="O67" s="870">
        <f t="shared" si="8"/>
        <v>16.600000000000001</v>
      </c>
      <c r="P67" s="870">
        <f t="shared" si="8"/>
        <v>0</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805" t="s">
        <v>1099</v>
      </c>
      <c r="E69" s="2683"/>
      <c r="F69" s="2682"/>
      <c r="G69" s="2684"/>
      <c r="H69" s="2806" t="s">
        <v>154</v>
      </c>
      <c r="I69" s="2686">
        <v>83</v>
      </c>
      <c r="K69" s="1285"/>
      <c r="L69" s="1286">
        <f>SUM(M69:Q69)</f>
        <v>83</v>
      </c>
      <c r="M69" s="2687">
        <f>M7%*$I$69</f>
        <v>37.35</v>
      </c>
      <c r="N69" s="2688">
        <f t="shared" ref="N69:Q69" si="9">N7%*$I$69</f>
        <v>29.049999999999997</v>
      </c>
      <c r="O69" s="2688">
        <f t="shared" si="9"/>
        <v>16.600000000000001</v>
      </c>
      <c r="P69" s="2688">
        <f t="shared" si="9"/>
        <v>0</v>
      </c>
      <c r="Q69" s="2689">
        <f t="shared" si="9"/>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P22" sqref="P22"/>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208769"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208770"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208771"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208772"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208773"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208774"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208775"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208776"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208777"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208778"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208779"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208780"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208781"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208782"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208783"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208784"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208785"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208786"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208787"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208788"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208789"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18"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'Umtriebsw.(a)'!K2</f>
        <v>Umtriebsweide</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'Umtriebsw.(a)'!H3</f>
        <v>Weide mit mittlerem Ertragsniveau</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'Umtriebsw.(a)'!M5</f>
        <v>Umtriebsweide</v>
      </c>
      <c r="O5" s="2679" t="str">
        <f>'Umtriebsw.(a)'!N5</f>
        <v>Umtriebsweide</v>
      </c>
      <c r="P5" s="2679" t="str">
        <f>'Umtriebsw.(a)'!O5</f>
        <v>Umtriebsweide</v>
      </c>
      <c r="Q5" s="2679">
        <f>'Umtriebsw.(a)'!P5</f>
        <v>0</v>
      </c>
      <c r="R5" s="2680">
        <f>'Umtriebsw.(a)'!Q5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'Umtriebsw.(a)'!K6</f>
        <v>65</v>
      </c>
      <c r="N6" s="1361">
        <f>'Umtriebsw.(a)'!M6</f>
        <v>29.25</v>
      </c>
      <c r="O6" s="1361">
        <f>'Umtriebsw.(a)'!N6</f>
        <v>22.75</v>
      </c>
      <c r="P6" s="1361">
        <f>'Umtriebsw.(a)'!O6</f>
        <v>13</v>
      </c>
      <c r="Q6" s="1361">
        <f>'Umtriebsw.(a)'!P6</f>
        <v>0</v>
      </c>
      <c r="R6" s="1362">
        <f>'Umtriebsw.(a)'!Q6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900"/>
      <c r="J7" s="2900"/>
      <c r="K7" s="2900"/>
      <c r="L7" s="425" t="s">
        <v>72</v>
      </c>
      <c r="M7" s="1291">
        <f>'Umtriebsw.(a)'!K14</f>
        <v>51.999999999999993</v>
      </c>
      <c r="N7" s="391">
        <f>'Umtriebsw.(a)'!M14</f>
        <v>23.4</v>
      </c>
      <c r="O7" s="391">
        <f>'Umtriebsw.(a)'!N14</f>
        <v>18.2</v>
      </c>
      <c r="P7" s="391">
        <f>'Umtriebsw.(a)'!O14</f>
        <v>10.4</v>
      </c>
      <c r="Q7" s="391">
        <f>'Umtriebsw.(a)'!P14</f>
        <v>0</v>
      </c>
      <c r="R7" s="1299">
        <f>'Umtriebsw.(a)'!Q14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'Umtriebsw.(a)'!K15</f>
        <v>273.68421052631578</v>
      </c>
      <c r="N8" s="404">
        <f>'Umtriebsw.(a)'!M15</f>
        <v>123.15789473684208</v>
      </c>
      <c r="O8" s="404">
        <f>'Umtriebsw.(a)'!N15</f>
        <v>95.78947368421052</v>
      </c>
      <c r="P8" s="404">
        <f>'Umtriebsw.(a)'!O15</f>
        <v>54.736842105263165</v>
      </c>
      <c r="Q8" s="404">
        <f>'Umtriebsw.(a)'!P15</f>
        <v>0</v>
      </c>
      <c r="R8" s="1201">
        <f>'Umtriebsw.(a)'!Q15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900"/>
      <c r="J9" s="2900"/>
      <c r="K9" s="2900"/>
      <c r="L9" s="425" t="s">
        <v>72</v>
      </c>
      <c r="M9" s="1200">
        <f>'Umtriebsw.(a)'!K17</f>
        <v>51.999999999999993</v>
      </c>
      <c r="N9" s="391">
        <f>'Umtriebsw.(a)'!M17</f>
        <v>23.4</v>
      </c>
      <c r="O9" s="391">
        <f>'Umtriebsw.(a)'!N17</f>
        <v>18.2</v>
      </c>
      <c r="P9" s="391">
        <f>'Umtriebsw.(a)'!O17</f>
        <v>10.4</v>
      </c>
      <c r="Q9" s="391">
        <f>'Umtriebsw.(a)'!P17</f>
        <v>0</v>
      </c>
      <c r="R9" s="1299">
        <f>'Umtriebsw.(a)'!Q17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900"/>
      <c r="J10" s="2900"/>
      <c r="K10" s="2900"/>
      <c r="L10" s="425" t="s">
        <v>376</v>
      </c>
      <c r="M10" s="1181">
        <f>'Umtriebsw.(a)'!K18</f>
        <v>273.68421052631578</v>
      </c>
      <c r="N10" s="1303">
        <f>'Umtriebsw.(a)'!M18</f>
        <v>123.15789473684208</v>
      </c>
      <c r="O10" s="1303">
        <f>'Umtriebsw.(a)'!N18</f>
        <v>95.78947368421052</v>
      </c>
      <c r="P10" s="1303">
        <f>'Umtriebsw.(a)'!O18</f>
        <v>54.736842105263165</v>
      </c>
      <c r="Q10" s="1303">
        <f>'Umtriebsw.(a)'!P18</f>
        <v>0</v>
      </c>
      <c r="R10" s="1300">
        <f>'Umtriebsw.(a)'!Q18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'Umtriebsw.(a)'!K19</f>
        <v>0</v>
      </c>
      <c r="N11" s="1551">
        <f>'Umtriebsw.(a)'!L19</f>
        <v>0</v>
      </c>
      <c r="O11" s="1551">
        <f>'Umtriebsw.(a)'!M19</f>
        <v>0</v>
      </c>
      <c r="P11" s="1551">
        <f>'Umtriebsw.(a)'!N19</f>
        <v>0</v>
      </c>
      <c r="Q11" s="1551">
        <f>'Umtriebsw.(a)'!O19</f>
        <v>0</v>
      </c>
      <c r="R11" s="1552">
        <f>'Umtriebsw.(a)'!P19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900"/>
      <c r="J12" s="2900"/>
      <c r="K12" s="2900"/>
      <c r="L12" s="425" t="s">
        <v>136</v>
      </c>
      <c r="M12" s="1181">
        <f>'Umtriebsw.(a)'!K22</f>
        <v>3146</v>
      </c>
      <c r="N12" s="967">
        <f>'Umtriebsw.(a)'!M22</f>
        <v>1450.7999999999997</v>
      </c>
      <c r="O12" s="967">
        <f>'Umtriebsw.(a)'!N22</f>
        <v>1092</v>
      </c>
      <c r="P12" s="967">
        <f>'Umtriebsw.(a)'!O22</f>
        <v>603.20000000000005</v>
      </c>
      <c r="Q12" s="967">
        <f>'Umtriebsw.(a)'!P22</f>
        <v>0</v>
      </c>
      <c r="R12" s="1302">
        <f>'Umtriebsw.(a)'!Q22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'Umtriebsw.(a)'!K23</f>
        <v>5243.333333333333</v>
      </c>
      <c r="N13" s="1521">
        <f>'Umtriebsw.(a)'!M23</f>
        <v>2418</v>
      </c>
      <c r="O13" s="1521">
        <f>'Umtriebsw.(a)'!N23</f>
        <v>1820</v>
      </c>
      <c r="P13" s="1521">
        <f>'Umtriebsw.(a)'!O23</f>
        <v>1005.3333333333333</v>
      </c>
      <c r="Q13" s="1521">
        <f>'Umtriebsw.(a)'!P23</f>
        <v>0</v>
      </c>
      <c r="R13" s="1523">
        <f>'Umtriebsw.(a)'!Q23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121.5</v>
      </c>
      <c r="O15" s="2137">
        <f t="shared" si="0"/>
        <v>94.5</v>
      </c>
      <c r="P15" s="2136">
        <f t="shared" si="0"/>
        <v>54</v>
      </c>
      <c r="Q15" s="2137">
        <f t="shared" si="0"/>
        <v>0</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130.5</v>
      </c>
      <c r="O16" s="1553">
        <f t="shared" si="1"/>
        <v>101.5</v>
      </c>
      <c r="P16" s="2139">
        <f t="shared" si="1"/>
        <v>58</v>
      </c>
      <c r="Q16" s="1553">
        <f t="shared" si="1"/>
        <v>0</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252</v>
      </c>
      <c r="O17" s="1521">
        <f t="shared" si="2"/>
        <v>196</v>
      </c>
      <c r="P17" s="2133">
        <f t="shared" si="2"/>
        <v>112</v>
      </c>
      <c r="Q17" s="1521">
        <f t="shared" si="2"/>
        <v>0</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'Umtriebsw.(a)'!L32</f>
        <v>0</v>
      </c>
      <c r="N19" s="1527">
        <f>'Umtriebsw.(a)'!M32</f>
        <v>0</v>
      </c>
      <c r="O19" s="1527">
        <f>'Umtriebsw.(a)'!N32</f>
        <v>0</v>
      </c>
      <c r="P19" s="1527">
        <f>'Umtriebsw.(a)'!O32</f>
        <v>0</v>
      </c>
      <c r="Q19" s="1527">
        <f>'Umtriebsw.(a)'!P32</f>
        <v>0</v>
      </c>
      <c r="R19" s="1529">
        <f>'Umtriebsw.(a)'!Q32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'Umtriebsw.(a)'!L34</f>
        <v>173.50199999999998</v>
      </c>
      <c r="N20" s="235">
        <f>'Umtriebsw.(a)'!M34</f>
        <v>78.07589999999999</v>
      </c>
      <c r="O20" s="235">
        <f>'Umtriebsw.(a)'!N34</f>
        <v>60.725699999999996</v>
      </c>
      <c r="P20" s="235">
        <f>'Umtriebsw.(a)'!O34</f>
        <v>34.700399999999995</v>
      </c>
      <c r="Q20" s="235">
        <f>'Umtriebsw.(a)'!P34</f>
        <v>0</v>
      </c>
      <c r="R20" s="1192">
        <f>'Umtriebsw.(a)'!Q34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'Umtriebsw.(a)'!L40</f>
        <v>0</v>
      </c>
      <c r="N21" s="235">
        <f>'Umtriebsw.(a)'!M40</f>
        <v>0</v>
      </c>
      <c r="O21" s="235">
        <f>'Umtriebsw.(a)'!N40</f>
        <v>0</v>
      </c>
      <c r="P21" s="235">
        <f>'Umtriebsw.(a)'!O40</f>
        <v>0</v>
      </c>
      <c r="Q21" s="235">
        <f>'Umtriebsw.(a)'!P40</f>
        <v>0</v>
      </c>
      <c r="R21" s="1192">
        <f>'Umtriebsw.(a)'!Q40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'Umtriebsw.(a)'!L67</f>
        <v>83</v>
      </c>
      <c r="N23" s="235">
        <f>'Umtriebsw.(a)'!M67</f>
        <v>37.35</v>
      </c>
      <c r="O23" s="235">
        <f>'Umtriebsw.(a)'!N67</f>
        <v>29.049999999999997</v>
      </c>
      <c r="P23" s="235">
        <f>'Umtriebsw.(a)'!O67</f>
        <v>16.600000000000001</v>
      </c>
      <c r="Q23" s="235">
        <f>'Umtriebsw.(a)'!P67</f>
        <v>0</v>
      </c>
      <c r="R23" s="1192">
        <f>'Umtriebsw.(a)'!Q67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'Umtriebsw.(a)'!L43</f>
        <v>27.326666860416005</v>
      </c>
      <c r="N24" s="235">
        <f>'Umtriebsw.(a)'!M43</f>
        <v>9.1088889534720021</v>
      </c>
      <c r="O24" s="235">
        <f>'Umtriebsw.(a)'!N43</f>
        <v>9.1088889534720021</v>
      </c>
      <c r="P24" s="235">
        <f>'Umtriebsw.(a)'!O43</f>
        <v>9.1088889534720021</v>
      </c>
      <c r="Q24" s="235">
        <f>'Umtriebsw.(a)'!P43</f>
        <v>0</v>
      </c>
      <c r="R24" s="1192">
        <f>'Umtriebsw.(a)'!Q43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'Umtriebsw.(a)'!L59</f>
        <v>0</v>
      </c>
      <c r="N25" s="235">
        <f>'Umtriebsw.(a)'!M59</f>
        <v>0</v>
      </c>
      <c r="O25" s="235">
        <f>'Umtriebsw.(a)'!N59</f>
        <v>0</v>
      </c>
      <c r="P25" s="235">
        <f>'Umtriebsw.(a)'!O59</f>
        <v>0</v>
      </c>
      <c r="Q25" s="235">
        <f>'Umtriebsw.(a)'!P59</f>
        <v>0</v>
      </c>
      <c r="R25" s="1192">
        <f>'Umtriebsw.(a)'!Q59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'Umtriebsw.(a)'!L64</f>
        <v>0</v>
      </c>
      <c r="N26" s="1437">
        <f>'Umtriebsw.(a)'!M64</f>
        <v>0</v>
      </c>
      <c r="O26" s="1437">
        <f>'Umtriebsw.(a)'!N64</f>
        <v>0</v>
      </c>
      <c r="P26" s="1437">
        <f>'Umtriebsw.(a)'!O64</f>
        <v>0</v>
      </c>
      <c r="Q26" s="1437">
        <f>'Umtriebsw.(a)'!P64</f>
        <v>0</v>
      </c>
      <c r="R26" s="1439">
        <f>'Umtriebsw.(a)'!Q64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283.82866686041598</v>
      </c>
      <c r="N27" s="1782">
        <f t="shared" si="4"/>
        <v>124.53478895347199</v>
      </c>
      <c r="O27" s="1782">
        <f t="shared" si="4"/>
        <v>98.884588953472004</v>
      </c>
      <c r="P27" s="1782">
        <f t="shared" si="4"/>
        <v>60.409288953472</v>
      </c>
      <c r="Q27" s="1782">
        <f t="shared" si="4"/>
        <v>0</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-283.82866686041598</v>
      </c>
      <c r="N28" s="1321">
        <f t="shared" si="5"/>
        <v>-124.53478895347199</v>
      </c>
      <c r="O28" s="1321">
        <f t="shared" si="5"/>
        <v>-98.884588953472004</v>
      </c>
      <c r="P28" s="1321">
        <f t="shared" si="5"/>
        <v>-60.409288953472</v>
      </c>
      <c r="Q28" s="1321">
        <f t="shared" si="5"/>
        <v>0</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-9.0218902371397319E-2</v>
      </c>
      <c r="N29" s="1377">
        <f t="shared" si="6"/>
        <v>-8.583870206332507E-2</v>
      </c>
      <c r="O29" s="1377">
        <f t="shared" si="6"/>
        <v>-9.0553652887794878E-2</v>
      </c>
      <c r="P29" s="1377">
        <f t="shared" si="6"/>
        <v>-0.10014802545336869</v>
      </c>
      <c r="Q29" s="1377">
        <f t="shared" si="6"/>
        <v>0</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560</v>
      </c>
      <c r="N30" s="1553">
        <f t="shared" si="7"/>
        <v>252</v>
      </c>
      <c r="O30" s="1553">
        <f t="shared" si="7"/>
        <v>196</v>
      </c>
      <c r="P30" s="1553">
        <f t="shared" si="7"/>
        <v>112</v>
      </c>
      <c r="Q30" s="1553">
        <f t="shared" si="7"/>
        <v>0</v>
      </c>
      <c r="R30" s="1299">
        <f t="shared" si="7"/>
        <v>0</v>
      </c>
      <c r="T30" s="2112" t="s">
        <v>565</v>
      </c>
      <c r="U30" s="2115">
        <f>'Umtriebsw.(a)'!L25</f>
        <v>290</v>
      </c>
      <c r="V30" s="2115">
        <f>'Umtriebsw.(a)'!M25</f>
        <v>130.5</v>
      </c>
      <c r="W30" s="2115">
        <f>'Umtriebsw.(a)'!N25</f>
        <v>101.5</v>
      </c>
      <c r="X30" s="2115">
        <f>'Umtriebsw.(a)'!O25</f>
        <v>58</v>
      </c>
      <c r="Y30" s="2115">
        <f>'Umtriebsw.(a)'!P25</f>
        <v>0</v>
      </c>
      <c r="Z30" s="2115">
        <f>'Umtriebsw.(a)'!Q25</f>
        <v>0</v>
      </c>
      <c r="AA30">
        <f>'Umtriebsw.(a)'!R25+'Umtriebsw.(a)'!R30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M27*'Umtriebsw.(a)'!$L$72*'Umtriebsw.(a)'!$Q$72/12/100</f>
        <v>1.7739291678775999</v>
      </c>
      <c r="N31" s="1437">
        <f>N27*'Umtriebsw.(a)'!$L$72*'Umtriebsw.(a)'!$Q$72/12/100</f>
        <v>0.77834243095919986</v>
      </c>
      <c r="O31" s="1437">
        <f>O27*'Umtriebsw.(a)'!$L$72*'Umtriebsw.(a)'!$Q$72/12/100</f>
        <v>0.61802868095919994</v>
      </c>
      <c r="P31" s="1437">
        <f>P27*'Umtriebsw.(a)'!$L$72*'Umtriebsw.(a)'!$Q$72/12/100</f>
        <v>0.3775580559592</v>
      </c>
      <c r="Q31" s="1437">
        <f>Q27*'Umtriebsw.(a)'!$L$72*'Umtriebsw.(a)'!$Q$72/12/100</f>
        <v>0</v>
      </c>
      <c r="R31" s="1439">
        <f>R27*'Umtriebsw.(a)'!$L$72*'Umtriebsw.(a)'!$Q$72/12/100</f>
        <v>0</v>
      </c>
      <c r="T31" s="2112" t="s">
        <v>564</v>
      </c>
      <c r="U31" s="2115">
        <f>'Umtriebsw.(a)'!L30</f>
        <v>270</v>
      </c>
      <c r="V31" s="2115">
        <f>'Umtriebsw.(a)'!M30</f>
        <v>121.5</v>
      </c>
      <c r="W31" s="2115">
        <f>'Umtriebsw.(a)'!N30</f>
        <v>94.5</v>
      </c>
      <c r="X31" s="2115">
        <f>'Umtriebsw.(a)'!O30</f>
        <v>54</v>
      </c>
      <c r="Y31" s="2115">
        <f>'Umtriebsw.(a)'!P30</f>
        <v>0</v>
      </c>
      <c r="Z31" s="2115">
        <f>'Umtriebsw.(a)'!Q30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274.39740397170641</v>
      </c>
      <c r="N32" s="1313">
        <f t="shared" si="8"/>
        <v>126.68686861556881</v>
      </c>
      <c r="O32" s="1313">
        <f t="shared" si="8"/>
        <v>96.497382365568797</v>
      </c>
      <c r="P32" s="1313">
        <f t="shared" si="8"/>
        <v>51.213152990568801</v>
      </c>
      <c r="Q32" s="1313">
        <f t="shared" si="8"/>
        <v>0</v>
      </c>
      <c r="R32" s="1320">
        <f t="shared" si="8"/>
        <v>0</v>
      </c>
      <c r="S32" s="246"/>
      <c r="U32" s="371">
        <f t="shared" ref="U32:Z32" si="9">U30+U31</f>
        <v>560</v>
      </c>
      <c r="V32" s="371">
        <f t="shared" si="9"/>
        <v>252</v>
      </c>
      <c r="W32" s="371">
        <f t="shared" si="9"/>
        <v>196</v>
      </c>
      <c r="X32" s="371">
        <f t="shared" si="9"/>
        <v>112</v>
      </c>
      <c r="Y32" s="371">
        <f t="shared" si="9"/>
        <v>0</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8.7221043856232167E-2</v>
      </c>
      <c r="N33" s="1199">
        <f t="shared" si="10"/>
        <v>8.7322076520243194E-2</v>
      </c>
      <c r="O33" s="1199">
        <f t="shared" si="10"/>
        <v>8.8367566268835893E-2</v>
      </c>
      <c r="P33" s="1199">
        <f t="shared" si="10"/>
        <v>8.4902441960492042E-2</v>
      </c>
      <c r="Q33" s="1199">
        <f t="shared" si="10"/>
        <v>0</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5.2332626313739306E-2</v>
      </c>
      <c r="N34" s="1599">
        <f t="shared" si="11"/>
        <v>5.2393245912145912E-2</v>
      </c>
      <c r="O34" s="1599">
        <f t="shared" si="11"/>
        <v>5.3020539761301534E-2</v>
      </c>
      <c r="P34" s="1599">
        <f t="shared" si="11"/>
        <v>5.0941465176295234E-2</v>
      </c>
      <c r="Q34" s="1599">
        <f t="shared" si="11"/>
        <v>0</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'Umtriebsw.(a)'!K58</f>
        <v>15.016320000000004</v>
      </c>
      <c r="N36" s="1772">
        <f>'Umtriebsw.(a)'!M58</f>
        <v>5.005440000000001</v>
      </c>
      <c r="O36" s="1772">
        <f>'Umtriebsw.(a)'!N58</f>
        <v>5.005440000000001</v>
      </c>
      <c r="P36" s="1772">
        <f>'Umtriebsw.(a)'!O58</f>
        <v>5.005440000000001</v>
      </c>
      <c r="Q36" s="1772">
        <f>'Umtriebsw.(a)'!P58</f>
        <v>0</v>
      </c>
      <c r="R36" s="1773">
        <f>'Umtriebsw.(a)'!Q58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'Umtriebsw.(a)'!K16</f>
        <v>0</v>
      </c>
      <c r="N37" s="1775">
        <f>'Umtriebsw.(a)'!M16</f>
        <v>0</v>
      </c>
      <c r="O37" s="1775">
        <f>'Umtriebsw.(a)'!N16</f>
        <v>0</v>
      </c>
      <c r="P37" s="1775">
        <f>'Umtriebsw.(a)'!O16</f>
        <v>0</v>
      </c>
      <c r="Q37" s="1775">
        <f>'Umtriebsw.(a)'!P16</f>
        <v>0</v>
      </c>
      <c r="R37" s="1776">
        <f>'Umtriebsw.(a)'!Q16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'Umtriebsw.(a)'!M78</f>
        <v>0</v>
      </c>
      <c r="O38" s="1565">
        <f>'Umtriebsw.(a)'!N78</f>
        <v>0</v>
      </c>
      <c r="P38" s="1565">
        <f>'Umtriebsw.(a)'!O78</f>
        <v>0</v>
      </c>
      <c r="Q38" s="1565">
        <f>'Umtriebsw.(a)'!P78</f>
        <v>0</v>
      </c>
      <c r="R38" s="1566">
        <f>'Umtriebsw.(a)'!Q78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247.76928000000007</v>
      </c>
      <c r="N39" s="235">
        <f t="shared" si="13"/>
        <v>82.589760000000012</v>
      </c>
      <c r="O39" s="235">
        <f t="shared" si="13"/>
        <v>82.589760000000012</v>
      </c>
      <c r="P39" s="235">
        <f t="shared" si="13"/>
        <v>82.589760000000012</v>
      </c>
      <c r="Q39" s="235">
        <f t="shared" si="13"/>
        <v>0</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Maschinen!T43</f>
        <v>111.17085777777777</v>
      </c>
      <c r="N41" s="235">
        <f>N$6/$M$6*$M$41</f>
        <v>50.026885999999998</v>
      </c>
      <c r="O41" s="235">
        <f>O$6/$M$6*$M$41</f>
        <v>38.909800222222216</v>
      </c>
      <c r="P41" s="235">
        <f>P$6/$M$6*$M$41</f>
        <v>22.234171555555555</v>
      </c>
      <c r="Q41" s="235">
        <f>Q$6/$M$6*$M$41</f>
        <v>0</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17.4706875</v>
      </c>
      <c r="O42" s="235">
        <f>O$6/$M$6*$M$42</f>
        <v>13.588312499999999</v>
      </c>
      <c r="P42" s="235">
        <f>P$6/$M$6*$M$42</f>
        <v>7.7647499999999994</v>
      </c>
      <c r="Q42" s="235">
        <f>Q$6/$M$6*$M$42</f>
        <v>0</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'Lager-Fläche'!$K$47</f>
        <v>80</v>
      </c>
      <c r="N43" s="235">
        <f>N$6/$M$6*$M$43</f>
        <v>36</v>
      </c>
      <c r="O43" s="235">
        <f>O$6/$M$6*$M$43</f>
        <v>28</v>
      </c>
      <c r="P43" s="235">
        <f>P$6/$M$6*$M$43</f>
        <v>16</v>
      </c>
      <c r="Q43" s="235">
        <f>Q$6/$M$6*$M$43</f>
        <v>0</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56.227499999999999</v>
      </c>
      <c r="O44" s="1437">
        <f>O$6/$M$6*$M$44</f>
        <v>43.732500000000002</v>
      </c>
      <c r="P44" s="1437">
        <f>P$6/$M$6*$M$44</f>
        <v>24.990000000000002</v>
      </c>
      <c r="Q44" s="1437">
        <f>Q$6/$M$6*$M$44</f>
        <v>0</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602.71388777777793</v>
      </c>
      <c r="N45" s="1449">
        <f t="shared" si="14"/>
        <v>242.31483349999999</v>
      </c>
      <c r="O45" s="1449">
        <f t="shared" si="14"/>
        <v>206.8203727222222</v>
      </c>
      <c r="P45" s="1449">
        <f t="shared" si="14"/>
        <v>153.57868155555556</v>
      </c>
      <c r="Q45" s="1449">
        <f t="shared" si="14"/>
        <v>0</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888.31648380607157</v>
      </c>
      <c r="N48" s="1577">
        <f t="shared" si="16"/>
        <v>367.62796488443121</v>
      </c>
      <c r="O48" s="1497">
        <f t="shared" si="16"/>
        <v>306.32299035665341</v>
      </c>
      <c r="P48" s="1497">
        <f t="shared" si="16"/>
        <v>214.36552856498676</v>
      </c>
      <c r="Q48" s="1497">
        <f t="shared" si="16"/>
        <v>0</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-888.31648380607157</v>
      </c>
      <c r="N49" s="1575">
        <f t="shared" si="17"/>
        <v>-367.62796488443121</v>
      </c>
      <c r="O49" s="1316">
        <f t="shared" si="17"/>
        <v>-306.32299035665341</v>
      </c>
      <c r="P49" s="1316">
        <f t="shared" si="17"/>
        <v>-214.36552856498676</v>
      </c>
      <c r="Q49" s="1316">
        <f t="shared" si="17"/>
        <v>0</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-0.28236379014814733</v>
      </c>
      <c r="N50" s="1854">
        <f t="shared" si="18"/>
        <v>-0.25339672241827355</v>
      </c>
      <c r="O50" s="1614">
        <f t="shared" si="18"/>
        <v>-0.28051555893466429</v>
      </c>
      <c r="P50" s="1614">
        <f t="shared" si="18"/>
        <v>-0.3553805181780284</v>
      </c>
      <c r="Q50" s="1614">
        <f t="shared" si="18"/>
        <v>0</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560</v>
      </c>
      <c r="N51" s="1628">
        <f>N17</f>
        <v>252</v>
      </c>
      <c r="O51" s="1629">
        <f>O17</f>
        <v>196</v>
      </c>
      <c r="P51" s="1629">
        <f t="shared" si="19"/>
        <v>112</v>
      </c>
      <c r="Q51" s="1629">
        <f t="shared" si="19"/>
        <v>0</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-328.31648380607157</v>
      </c>
      <c r="N52" s="1622">
        <f t="shared" si="20"/>
        <v>-115.62796488443121</v>
      </c>
      <c r="O52" s="1537">
        <f t="shared" si="20"/>
        <v>-110.32299035665341</v>
      </c>
      <c r="P52" s="1537">
        <f t="shared" si="20"/>
        <v>-102.36552856498676</v>
      </c>
      <c r="Q52" s="1537">
        <f t="shared" si="20"/>
        <v>0</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-0.10435997578069663</v>
      </c>
      <c r="N53" s="1854">
        <f t="shared" si="21"/>
        <v>-7.969945194680951E-2</v>
      </c>
      <c r="O53" s="1614">
        <f t="shared" si="21"/>
        <v>-0.1010283794474848</v>
      </c>
      <c r="P53" s="1614">
        <f t="shared" si="21"/>
        <v>-0.16970412560508413</v>
      </c>
      <c r="Q53" s="1614">
        <f t="shared" si="21"/>
        <v>0</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328.31648380607157</v>
      </c>
      <c r="N55" s="1494">
        <f t="shared" si="22"/>
        <v>115.62796488443121</v>
      </c>
      <c r="O55" s="1494">
        <f t="shared" si="22"/>
        <v>110.32299035665341</v>
      </c>
      <c r="P55" s="1494">
        <f t="shared" si="22"/>
        <v>102.36552856498676</v>
      </c>
      <c r="Q55" s="1494">
        <f t="shared" si="22"/>
        <v>0</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1.1996179215991076</v>
      </c>
      <c r="N56" s="1559">
        <f t="shared" si="24"/>
        <v>0.93885954393341597</v>
      </c>
      <c r="O56" s="1559">
        <f t="shared" si="24"/>
        <v>1.1517235257013267</v>
      </c>
      <c r="P56" s="1559">
        <f t="shared" si="24"/>
        <v>1.8701394641680271</v>
      </c>
      <c r="Q56" s="1559">
        <f t="shared" si="24"/>
        <v>0</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6.3137785347321467</v>
      </c>
      <c r="N57" s="2174">
        <f>IF($N$9=0,0,N$55/$N$9)</f>
        <v>4.9413660207021888</v>
      </c>
      <c r="O57" s="2174">
        <f>IF($O$9=0,0,O$55/$O$9)</f>
        <v>6.0617027668490886</v>
      </c>
      <c r="P57" s="2174">
        <f>IF($P$9=0,0,P$55/$P$9)</f>
        <v>9.8428392850948807</v>
      </c>
      <c r="Q57" s="2174">
        <f>IF($Q$9=0,0,Q$55/$Q$9)</f>
        <v>0</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0.10435997578069663</v>
      </c>
      <c r="N59" s="1586">
        <f t="shared" si="25"/>
        <v>7.969945194680951E-2</v>
      </c>
      <c r="O59" s="1586">
        <f t="shared" si="25"/>
        <v>0.1010283794474848</v>
      </c>
      <c r="P59" s="1586">
        <f t="shared" si="25"/>
        <v>0.16970412560508413</v>
      </c>
      <c r="Q59" s="1586">
        <f t="shared" si="25"/>
        <v>0</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2.8988882161304616E-2</v>
      </c>
      <c r="N60" s="1586">
        <f t="shared" si="26"/>
        <v>2.2138736651891533E-2</v>
      </c>
      <c r="O60" s="1586">
        <f t="shared" si="26"/>
        <v>2.8063438735412442E-2</v>
      </c>
      <c r="P60" s="1586">
        <f t="shared" si="26"/>
        <v>4.714003489030115E-2</v>
      </c>
      <c r="Q60" s="1586">
        <f t="shared" si="26"/>
        <v>0</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IF(M12=0,0,M55/M12)</f>
        <v>0.10435997578069663</v>
      </c>
      <c r="N61" s="1586">
        <f t="shared" ref="N61:R61" si="27">IF(N12=0,0,N55/N12)</f>
        <v>7.969945194680951E-2</v>
      </c>
      <c r="O61" s="1586">
        <f t="shared" si="27"/>
        <v>0.1010283794474848</v>
      </c>
      <c r="P61" s="1586">
        <f t="shared" si="27"/>
        <v>0.16970412560508413</v>
      </c>
      <c r="Q61" s="1586">
        <f t="shared" si="27"/>
        <v>0</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6.261598546841797E-2</v>
      </c>
      <c r="N62" s="1856">
        <f t="shared" si="28"/>
        <v>4.7819671168085692E-2</v>
      </c>
      <c r="O62" s="1856">
        <f t="shared" si="28"/>
        <v>6.0617027668490885E-2</v>
      </c>
      <c r="P62" s="1856">
        <f t="shared" si="28"/>
        <v>0.1018224753630505</v>
      </c>
      <c r="Q62" s="1856">
        <f t="shared" si="28"/>
        <v>0</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328.31648380607157</v>
      </c>
      <c r="N63" s="1313">
        <f t="shared" si="29"/>
        <v>115.62796488443121</v>
      </c>
      <c r="O63" s="1313">
        <f t="shared" si="29"/>
        <v>110.32299035665341</v>
      </c>
      <c r="P63" s="1313">
        <f t="shared" si="29"/>
        <v>102.36552856498676</v>
      </c>
      <c r="Q63" s="1313">
        <f t="shared" si="29"/>
        <v>0</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6.3137785347321467</v>
      </c>
      <c r="N64" s="2174">
        <f>IF($N$9=0,0,N$63/$N$9)</f>
        <v>4.9413660207021888</v>
      </c>
      <c r="O64" s="2174">
        <f>IF($O$9=0,0,O$63/$O$9)</f>
        <v>6.0617027668490886</v>
      </c>
      <c r="P64" s="2174">
        <f>IF($P$9=0,0,P$63/$P$9)</f>
        <v>9.8428392850948807</v>
      </c>
      <c r="Q64" s="2174">
        <f>IF($Q$9=0,0,Q$63/$Q$9)</f>
        <v>0</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0.10435997578069663</v>
      </c>
      <c r="N65" s="1615">
        <f t="shared" si="30"/>
        <v>7.969945194680951E-2</v>
      </c>
      <c r="O65" s="1615">
        <f t="shared" si="30"/>
        <v>0.1010283794474848</v>
      </c>
      <c r="P65" s="1615">
        <f t="shared" si="30"/>
        <v>0.16970412560508413</v>
      </c>
      <c r="Q65" s="1615">
        <f t="shared" si="30"/>
        <v>0</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6.261598546841797E-2</v>
      </c>
      <c r="N66" s="1617">
        <f t="shared" si="30"/>
        <v>4.7819671168085692E-2</v>
      </c>
      <c r="O66" s="1617">
        <f t="shared" si="30"/>
        <v>6.0617027668490885E-2</v>
      </c>
      <c r="P66" s="1617">
        <f t="shared" si="30"/>
        <v>0.1018224753630505</v>
      </c>
      <c r="Q66" s="1617">
        <f t="shared" si="30"/>
        <v>0</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258.27592916787756</v>
      </c>
      <c r="N68" s="1316">
        <f t="shared" si="31"/>
        <v>116.20424243095918</v>
      </c>
      <c r="O68" s="1316">
        <f t="shared" si="31"/>
        <v>90.3937286809592</v>
      </c>
      <c r="P68" s="1316">
        <f t="shared" si="31"/>
        <v>51.677958055959195</v>
      </c>
      <c r="Q68" s="1316">
        <f t="shared" si="31"/>
        <v>0</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8.209660812710666E-2</v>
      </c>
      <c r="N69" s="1487">
        <f t="shared" si="32"/>
        <v>8.009666558516626E-2</v>
      </c>
      <c r="O69" s="1487">
        <f t="shared" si="32"/>
        <v>8.2778139817728205E-2</v>
      </c>
      <c r="P69" s="1487">
        <f t="shared" si="32"/>
        <v>8.5673007387200253E-2</v>
      </c>
      <c r="Q69" s="1487">
        <f t="shared" si="32"/>
        <v>0</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386.26680463819383</v>
      </c>
      <c r="N70" s="1313">
        <f t="shared" si="33"/>
        <v>141.72553495347202</v>
      </c>
      <c r="O70" s="1313">
        <f t="shared" si="33"/>
        <v>130.60844917569423</v>
      </c>
      <c r="P70" s="1313">
        <f t="shared" si="33"/>
        <v>113.93282050902758</v>
      </c>
      <c r="Q70" s="1313">
        <f t="shared" si="33"/>
        <v>0</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0.12278029390915252</v>
      </c>
      <c r="N71" s="1614">
        <f t="shared" si="34"/>
        <v>9.768785149811969E-2</v>
      </c>
      <c r="O71" s="1614">
        <f t="shared" si="34"/>
        <v>0.11960480693744893</v>
      </c>
      <c r="P71" s="1614">
        <f t="shared" si="34"/>
        <v>0.18888067060515182</v>
      </c>
      <c r="Q71" s="1614">
        <f t="shared" si="34"/>
        <v>0</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6" activePane="bottomRight" state="frozen"/>
      <selection pane="bottomRight" activeCell="M51" sqref="M51"/>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S82"/>
  <sheetViews>
    <sheetView showGridLines="0" showZeros="0" workbookViewId="0">
      <pane xSplit="12" ySplit="5" topLeftCell="M30"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2" style="438" customWidth="1"/>
    <col min="2" max="2" width="3.375" style="438" customWidth="1"/>
    <col min="3" max="3" width="1" style="449" customWidth="1"/>
    <col min="4" max="4" width="10.125" style="449" customWidth="1"/>
    <col min="5" max="5" width="9.625" style="449" customWidth="1"/>
    <col min="6" max="8" width="9.375" style="449" customWidth="1"/>
    <col min="9" max="9" width="10.125" style="449" customWidth="1"/>
    <col min="10" max="10" width="8.375" style="770" customWidth="1"/>
    <col min="11" max="11" width="7" style="449" customWidth="1"/>
    <col min="12" max="12" width="7.625" style="449" customWidth="1"/>
    <col min="13" max="17" width="8.875" style="449" customWidth="1"/>
    <col min="18" max="18" width="35.375" style="449" customWidth="1"/>
    <col min="19" max="19" width="6" style="449" customWidth="1"/>
    <col min="20" max="24" width="9.375" style="438" customWidth="1"/>
    <col min="25" max="25" width="11.375" style="434"/>
    <col min="26" max="26" width="11.125" style="438" customWidth="1"/>
    <col min="27" max="30" width="8.875" style="438" customWidth="1"/>
    <col min="31" max="33" width="11.375" style="434"/>
    <col min="34" max="34" width="3.625" style="438" customWidth="1"/>
    <col min="35" max="35" width="8.375" style="438" customWidth="1"/>
    <col min="36" max="39" width="8.875" style="438" customWidth="1"/>
    <col min="40" max="16384" width="11.375" style="438"/>
  </cols>
  <sheetData>
    <row r="1" spans="1:45" ht="16.149999999999999" customHeight="1" x14ac:dyDescent="0.2"/>
    <row r="2" spans="1:45" s="431" customFormat="1" ht="20.25" customHeight="1" x14ac:dyDescent="0.2">
      <c r="A2" s="828"/>
      <c r="B2" s="829"/>
      <c r="C2" s="3052" t="str">
        <f>"Berechnungsgrundlagen "&amp;Prämien!$Y$2</f>
        <v>Berechnungsgrundlagen 2018</v>
      </c>
      <c r="D2" s="3053"/>
      <c r="E2" s="3053"/>
      <c r="F2" s="3053"/>
      <c r="G2" s="3053"/>
      <c r="H2" s="3054"/>
      <c r="I2" s="3055"/>
      <c r="J2" s="3056" t="str">
        <f>"Verfahren "&amp;Preise!$AJ$5</f>
        <v>Verfahren mit MwSt.</v>
      </c>
      <c r="K2" s="3342" t="s">
        <v>254</v>
      </c>
      <c r="L2" s="3342"/>
      <c r="M2" s="3342"/>
      <c r="N2" s="3342"/>
      <c r="O2" s="3342"/>
      <c r="P2" s="3342"/>
      <c r="Q2" s="3343"/>
      <c r="R2" s="3349" t="s">
        <v>176</v>
      </c>
      <c r="S2" s="3350"/>
      <c r="T2" s="3350"/>
      <c r="U2" s="3350"/>
      <c r="V2" s="3350"/>
      <c r="Y2" s="434"/>
      <c r="AE2" s="434"/>
      <c r="AF2" s="434"/>
      <c r="AG2" s="434"/>
    </row>
    <row r="3" spans="1:45" s="431" customFormat="1" ht="25.5" customHeight="1" x14ac:dyDescent="0.2">
      <c r="A3" s="830"/>
      <c r="B3" s="831"/>
      <c r="C3" s="1828"/>
      <c r="D3" s="1798" t="s">
        <v>382</v>
      </c>
      <c r="E3" s="1792"/>
      <c r="F3" s="1792"/>
      <c r="G3" s="823"/>
      <c r="H3" s="3376" t="s">
        <v>1268</v>
      </c>
      <c r="I3" s="3345"/>
      <c r="J3" s="3345"/>
      <c r="K3" s="3345"/>
      <c r="L3" s="3345"/>
      <c r="M3" s="3345"/>
      <c r="N3" s="3345"/>
      <c r="O3" s="3345"/>
      <c r="P3" s="3345"/>
      <c r="Q3" s="3346"/>
      <c r="R3" s="446"/>
      <c r="S3" s="438" t="s">
        <v>90</v>
      </c>
      <c r="T3" s="434"/>
      <c r="U3" s="434"/>
      <c r="V3" s="498" t="s">
        <v>495</v>
      </c>
      <c r="W3" s="472"/>
      <c r="X3" s="472"/>
      <c r="Y3" s="472"/>
      <c r="Z3" s="832"/>
      <c r="AA3" s="432"/>
      <c r="AB3" s="432"/>
      <c r="AC3" s="432"/>
      <c r="AD3" s="432"/>
      <c r="AE3" s="434"/>
      <c r="AF3" s="434"/>
      <c r="AG3" s="434"/>
      <c r="AH3" s="432"/>
      <c r="AI3" s="432"/>
      <c r="AJ3" s="432"/>
      <c r="AK3" s="432"/>
      <c r="AL3" s="432"/>
      <c r="AM3" s="432"/>
      <c r="AN3" s="432"/>
      <c r="AO3" s="432"/>
      <c r="AP3" s="432"/>
      <c r="AQ3" s="432"/>
      <c r="AR3" s="432"/>
      <c r="AS3" s="432"/>
    </row>
    <row r="4" spans="1:45" s="433" customFormat="1" ht="18.7" customHeight="1" x14ac:dyDescent="0.2">
      <c r="A4" s="830"/>
      <c r="B4" s="833"/>
      <c r="C4" s="834"/>
      <c r="D4" s="777" t="s">
        <v>91</v>
      </c>
      <c r="E4" s="777"/>
      <c r="F4" s="777"/>
      <c r="G4" s="777"/>
      <c r="H4" s="777"/>
      <c r="I4" s="777"/>
      <c r="J4" s="835"/>
      <c r="K4" s="1217" t="s">
        <v>17</v>
      </c>
      <c r="L4" s="1218"/>
      <c r="M4" s="836" t="s">
        <v>92</v>
      </c>
      <c r="N4" s="837" t="s">
        <v>93</v>
      </c>
      <c r="O4" s="837" t="s">
        <v>94</v>
      </c>
      <c r="P4" s="837" t="s">
        <v>95</v>
      </c>
      <c r="Q4" s="838" t="s">
        <v>96</v>
      </c>
      <c r="R4" s="447"/>
      <c r="S4" s="2640">
        <v>1</v>
      </c>
      <c r="T4" s="2671" t="str">
        <f>Energ.!F$57</f>
        <v>Portionsweide</v>
      </c>
      <c r="U4" s="2641"/>
      <c r="V4" s="2638" t="s">
        <v>92</v>
      </c>
      <c r="W4" s="473" t="s">
        <v>93</v>
      </c>
      <c r="X4" s="473" t="s">
        <v>94</v>
      </c>
      <c r="Y4" s="473" t="s">
        <v>95</v>
      </c>
      <c r="Z4" s="840" t="s">
        <v>96</v>
      </c>
      <c r="AE4" s="434"/>
      <c r="AF4" s="434"/>
      <c r="AG4" s="434"/>
    </row>
    <row r="5" spans="1:45" s="433" customFormat="1" ht="18.7" customHeight="1" x14ac:dyDescent="0.2">
      <c r="A5" s="841"/>
      <c r="B5" s="842"/>
      <c r="C5" s="843"/>
      <c r="D5" s="844" t="s">
        <v>118</v>
      </c>
      <c r="E5" s="844"/>
      <c r="F5" s="844"/>
      <c r="G5" s="844"/>
      <c r="H5" s="844"/>
      <c r="I5" s="844"/>
      <c r="J5" s="845"/>
      <c r="K5" s="1219"/>
      <c r="L5" s="1220"/>
      <c r="M5" s="2699" t="str">
        <f>VLOOKUP(V$5,$S$4:$T$13,2)</f>
        <v>Portionsweide</v>
      </c>
      <c r="N5" s="2699" t="str">
        <f>VLOOKUP(W$5,$S$4:$T$13,2)</f>
        <v>Portionsweide</v>
      </c>
      <c r="O5" s="2699" t="str">
        <f>VLOOKUP(X$5,$S$4:$T$13,2)</f>
        <v>Portionsweide</v>
      </c>
      <c r="P5" s="2699" t="str">
        <f>VLOOKUP(Y$5,$S$4:$T$13,2)</f>
        <v>Portionsweide</v>
      </c>
      <c r="Q5" s="2700">
        <f>VLOOKUP(Z$5,$S$4:$T$13,2)</f>
        <v>0</v>
      </c>
      <c r="R5" s="470"/>
      <c r="S5" s="2642">
        <v>2</v>
      </c>
      <c r="T5" s="2672" t="str">
        <f>Energ.!G$57</f>
        <v>Umtriebsweide</v>
      </c>
      <c r="U5" s="2643"/>
      <c r="V5" s="2639">
        <v>1</v>
      </c>
      <c r="W5" s="2118">
        <v>1</v>
      </c>
      <c r="X5" s="2118">
        <v>1</v>
      </c>
      <c r="Y5" s="2118">
        <v>1</v>
      </c>
      <c r="Z5" s="2119">
        <v>10</v>
      </c>
      <c r="AE5" s="434"/>
      <c r="AF5" s="434"/>
      <c r="AG5" s="434"/>
    </row>
    <row r="6" spans="1:45" s="433" customFormat="1" ht="18.7" customHeight="1" x14ac:dyDescent="0.2">
      <c r="A6" s="964"/>
      <c r="B6" s="848"/>
      <c r="C6" s="849"/>
      <c r="D6" s="850" t="s">
        <v>119</v>
      </c>
      <c r="E6" s="851"/>
      <c r="F6" s="851"/>
      <c r="G6" s="851"/>
      <c r="H6" s="851"/>
      <c r="I6" s="852" t="s">
        <v>72</v>
      </c>
      <c r="J6" s="448"/>
      <c r="K6" s="2190">
        <v>90</v>
      </c>
      <c r="L6" s="1288"/>
      <c r="M6" s="853">
        <f>$K$6*M7/100</f>
        <v>31.5</v>
      </c>
      <c r="N6" s="854">
        <f>$K$6*N7/100</f>
        <v>22.5</v>
      </c>
      <c r="O6" s="854">
        <f>$K$6*O7/100</f>
        <v>18</v>
      </c>
      <c r="P6" s="854">
        <f>$K$6*P7/100</f>
        <v>18</v>
      </c>
      <c r="Q6" s="855">
        <f>$K$6*Q7/100</f>
        <v>0</v>
      </c>
      <c r="R6" s="447"/>
      <c r="S6" s="2642">
        <v>3</v>
      </c>
      <c r="T6" s="2672" t="str">
        <f>Energ.!H$57</f>
        <v>Standweide</v>
      </c>
      <c r="U6" s="2643"/>
      <c r="V6" s="434"/>
      <c r="W6" s="434"/>
      <c r="Y6" s="434"/>
      <c r="AE6" s="434"/>
      <c r="AF6" s="434"/>
      <c r="AG6" s="434"/>
    </row>
    <row r="7" spans="1:45" s="433" customFormat="1" ht="18.7" customHeight="1" x14ac:dyDescent="0.2">
      <c r="A7" s="965"/>
      <c r="B7" s="856"/>
      <c r="C7" s="843"/>
      <c r="D7" s="823"/>
      <c r="E7" s="844"/>
      <c r="F7" s="844"/>
      <c r="G7" s="844"/>
      <c r="H7" s="844"/>
      <c r="I7" s="857" t="str">
        <f>IF(R7&lt;&gt;100,"Summe nicht 100%","")</f>
        <v/>
      </c>
      <c r="J7" s="845"/>
      <c r="K7" s="1221"/>
      <c r="L7" s="1222" t="s">
        <v>120</v>
      </c>
      <c r="M7" s="2674">
        <v>35</v>
      </c>
      <c r="N7" s="2675">
        <v>25</v>
      </c>
      <c r="O7" s="2675">
        <v>20</v>
      </c>
      <c r="P7" s="2675">
        <v>20</v>
      </c>
      <c r="Q7" s="2676"/>
      <c r="R7" s="644">
        <f>SUM(M7:Q7)</f>
        <v>100</v>
      </c>
      <c r="S7" s="2642">
        <v>4</v>
      </c>
      <c r="T7" s="2672" t="str">
        <f>Energ.!I$57</f>
        <v>Grünfutter</v>
      </c>
      <c r="U7" s="2643"/>
      <c r="V7" s="434"/>
      <c r="W7" s="434"/>
      <c r="Y7" s="434"/>
      <c r="AE7" s="434"/>
      <c r="AF7" s="434"/>
      <c r="AG7" s="434"/>
    </row>
    <row r="8" spans="1:45" s="434" customFormat="1" ht="15.65" x14ac:dyDescent="0.2">
      <c r="A8" s="461"/>
      <c r="B8" s="848"/>
      <c r="C8" s="825"/>
      <c r="D8" s="78" t="s">
        <v>121</v>
      </c>
      <c r="F8" s="438" t="s">
        <v>122</v>
      </c>
      <c r="J8" s="499" t="s">
        <v>487</v>
      </c>
      <c r="K8" s="1223">
        <f>(M$6*M8+N$6*N8+O$6*O8+P$6*P8+Q$6*Q8)/K$6</f>
        <v>15</v>
      </c>
      <c r="L8" s="1224"/>
      <c r="M8" s="2646">
        <f>HLOOKUP(V$5,Energ.!$F$58:$N$66,Energ.!$A59)*100</f>
        <v>15</v>
      </c>
      <c r="N8" s="2647">
        <f>HLOOKUP(W$5,Energ.!$F$58:$N$66,Energ.!$A59)*100</f>
        <v>15</v>
      </c>
      <c r="O8" s="2647">
        <f>HLOOKUP(X$5,Energ.!$F$58:$N$66,Energ.!$A59)*100</f>
        <v>15</v>
      </c>
      <c r="P8" s="2647">
        <f>HLOOKUP(Y$5,Energ.!$F$58:$N$66,Energ.!$A59)*100</f>
        <v>15</v>
      </c>
      <c r="Q8" s="2648">
        <f>HLOOKUP(Z$5,Energ.!$F$58:$N$66,Energ.!$A59)*100</f>
        <v>0</v>
      </c>
      <c r="S8" s="2642">
        <v>5</v>
      </c>
      <c r="T8" s="2672" t="str">
        <f>Energ.!J$57</f>
        <v>Silage</v>
      </c>
      <c r="U8" s="2643"/>
    </row>
    <row r="9" spans="1:45" s="448" customFormat="1" ht="14.3" customHeight="1" x14ac:dyDescent="0.2">
      <c r="A9" s="824"/>
      <c r="B9" s="848"/>
      <c r="C9" s="858"/>
      <c r="D9" s="859"/>
      <c r="E9" s="860"/>
      <c r="F9" s="861" t="s">
        <v>465</v>
      </c>
      <c r="G9" s="860"/>
      <c r="H9" s="860"/>
      <c r="I9" s="860"/>
      <c r="J9" s="893"/>
      <c r="K9" s="1225">
        <f>(M$6*M9+N$6*N9+O$6*O9+P$6*P9+Q$6*Q9)/K$6</f>
        <v>0</v>
      </c>
      <c r="L9" s="1226"/>
      <c r="M9" s="2649">
        <f>HLOOKUP(V$5,Energ.!$F$58:$N$66,Energ.!$A60)*100</f>
        <v>0</v>
      </c>
      <c r="N9" s="2650">
        <f>HLOOKUP(W$5,Energ.!$F$58:$N$66,Energ.!$A60)*100</f>
        <v>0</v>
      </c>
      <c r="O9" s="2650">
        <f>HLOOKUP(X$5,Energ.!$F$58:$N$66,Energ.!$A60)*100</f>
        <v>0</v>
      </c>
      <c r="P9" s="2650">
        <f>HLOOKUP(Y$5,Energ.!$F$58:$N$66,Energ.!$A60)*100</f>
        <v>0</v>
      </c>
      <c r="Q9" s="2651">
        <f>HLOOKUP(Z$5,Energ.!$F$58:$N$66,Energ.!$A60)*100</f>
        <v>0</v>
      </c>
      <c r="S9" s="2642">
        <v>6</v>
      </c>
      <c r="T9" s="2672" t="str">
        <f>Energ.!K$57</f>
        <v>HeuBoden</v>
      </c>
      <c r="U9" s="2643"/>
      <c r="Y9" s="434"/>
      <c r="AE9" s="434"/>
      <c r="AF9" s="434"/>
      <c r="AG9" s="434"/>
    </row>
    <row r="10" spans="1:45" s="434" customFormat="1" ht="14.3" customHeight="1" x14ac:dyDescent="0.2">
      <c r="A10" s="461"/>
      <c r="B10" s="848"/>
      <c r="C10" s="825"/>
      <c r="D10" s="78" t="s">
        <v>123</v>
      </c>
      <c r="F10" s="438" t="s">
        <v>124</v>
      </c>
      <c r="J10" s="499" t="s">
        <v>125</v>
      </c>
      <c r="K10" s="1223">
        <f>(M$14*M10+N$14*N10+O$14*O10+P$14*P10+Q$14*Q10)/K$14</f>
        <v>18.000000000000004</v>
      </c>
      <c r="L10" s="1224"/>
      <c r="M10" s="2652">
        <f>HLOOKUP(V$5,Energ.!$F$58:$N$66,Energ.!$A62)*100</f>
        <v>18</v>
      </c>
      <c r="N10" s="2653">
        <f>HLOOKUP(W$5,Energ.!$F$58:$N$66,Energ.!$A62)*100</f>
        <v>18</v>
      </c>
      <c r="O10" s="2658">
        <f>HLOOKUP(X$5,Energ.!$F$58:$N$66,Energ.!$A62)*100</f>
        <v>18</v>
      </c>
      <c r="P10" s="2653">
        <f>HLOOKUP(Y$5,Energ.!$F$58:$N$66,Energ.!$A62)*100</f>
        <v>18</v>
      </c>
      <c r="Q10" s="2654">
        <f>HLOOKUP(Z$5,Energ.!$F$58:$N$66,Energ.!$A62)*100</f>
        <v>0</v>
      </c>
      <c r="S10" s="2637">
        <v>7</v>
      </c>
      <c r="T10" s="2672" t="str">
        <f>Energ.!L$57</f>
        <v>Cobs</v>
      </c>
      <c r="U10" s="2643"/>
    </row>
    <row r="11" spans="1:45" s="434" customFormat="1" ht="14.3" customHeight="1" x14ac:dyDescent="0.2">
      <c r="A11" s="461"/>
      <c r="B11" s="848"/>
      <c r="C11" s="858"/>
      <c r="D11" s="859"/>
      <c r="E11" s="860"/>
      <c r="F11" s="861" t="s">
        <v>126</v>
      </c>
      <c r="G11" s="860"/>
      <c r="H11" s="860"/>
      <c r="I11" s="860"/>
      <c r="J11" s="1762"/>
      <c r="K11" s="1227">
        <f>(M$14*M11+N$14*N11+O$14*O11+P$14*P11+Q$14*Q11)/K$14</f>
        <v>18.000000000000004</v>
      </c>
      <c r="L11" s="1228"/>
      <c r="M11" s="2649">
        <f>HLOOKUP(V$5,Energ.!$F$58:$N$66,Energ.!$A63)*100</f>
        <v>18</v>
      </c>
      <c r="N11" s="2650">
        <f>HLOOKUP(W$5,Energ.!$F$58:$N$66,Energ.!$A63)*100</f>
        <v>18</v>
      </c>
      <c r="O11" s="2650">
        <f>HLOOKUP(X$5,Energ.!$F$58:$N$66,Energ.!$A63)*100</f>
        <v>18</v>
      </c>
      <c r="P11" s="2650">
        <f>HLOOKUP(Y$5,Energ.!$F$58:$N$66,Energ.!$A63)*100</f>
        <v>18</v>
      </c>
      <c r="Q11" s="2651">
        <f>HLOOKUP(Z$5,Energ.!$F$58:$N$66,Energ.!$A63)*100</f>
        <v>0</v>
      </c>
      <c r="S11" s="2637">
        <v>8</v>
      </c>
      <c r="T11" s="2672" t="str">
        <f>Energ.!M$57</f>
        <v>HeuTrocknung</v>
      </c>
      <c r="U11" s="2644"/>
    </row>
    <row r="12" spans="1:45" s="434" customFormat="1" ht="14.3" customHeight="1" x14ac:dyDescent="0.2">
      <c r="A12" s="461"/>
      <c r="B12" s="848"/>
      <c r="C12" s="825"/>
      <c r="D12" s="78" t="s">
        <v>127</v>
      </c>
      <c r="F12" s="438" t="s">
        <v>463</v>
      </c>
      <c r="J12" s="877" t="s">
        <v>128</v>
      </c>
      <c r="K12" s="1229">
        <f>IF(M15=0,0,(M$15*M12+N$15*N12+O$15*O12+P$15*P12+Q$15*Q12)/K$15)</f>
        <v>0</v>
      </c>
      <c r="L12" s="1224"/>
      <c r="M12" s="2655">
        <f>HLOOKUP(V$5,Energ.!$F$58:$N$66,Energ.!$A64)</f>
        <v>0</v>
      </c>
      <c r="N12" s="2656">
        <f>HLOOKUP(W$5,Energ.!$F$58:$N$66,Energ.!$A64)</f>
        <v>0</v>
      </c>
      <c r="O12" s="2656">
        <f>HLOOKUP(X$5,Energ.!$F$58:$N$66,Energ.!$A64)</f>
        <v>0</v>
      </c>
      <c r="P12" s="2656">
        <f>HLOOKUP(Y$5,Energ.!$F$58:$N$66,Energ.!$A64)</f>
        <v>0</v>
      </c>
      <c r="Q12" s="2657">
        <f>HLOOKUP(Z$5,Energ.!$F$58:$N$66,Energ.!$A64)</f>
        <v>0</v>
      </c>
      <c r="S12" s="2637">
        <v>9</v>
      </c>
      <c r="T12" s="2672">
        <f>Energ.!N$57</f>
        <v>0</v>
      </c>
      <c r="U12" s="2644"/>
    </row>
    <row r="13" spans="1:45" s="434" customFormat="1" ht="14.3" customHeight="1" x14ac:dyDescent="0.2">
      <c r="A13" s="965"/>
      <c r="B13" s="864"/>
      <c r="C13" s="826"/>
      <c r="D13" s="81"/>
      <c r="E13" s="823"/>
      <c r="F13" s="800" t="s">
        <v>463</v>
      </c>
      <c r="G13" s="823"/>
      <c r="H13" s="823"/>
      <c r="I13" s="823"/>
      <c r="J13" s="1763" t="s">
        <v>129</v>
      </c>
      <c r="K13" s="1230">
        <f>IF(M15=0,0,(M$15*M13+N$15*N13+O$15*O13+P$15*P13+Q$15*Q13)/K$15)</f>
        <v>0</v>
      </c>
      <c r="L13" s="1231"/>
      <c r="M13" s="517">
        <f>M12*M11/100</f>
        <v>0</v>
      </c>
      <c r="N13" s="518">
        <f>N12*N11/100</f>
        <v>0</v>
      </c>
      <c r="O13" s="518">
        <f>O12*O11/100</f>
        <v>0</v>
      </c>
      <c r="P13" s="518">
        <f>P12*P11/100</f>
        <v>0</v>
      </c>
      <c r="Q13" s="519">
        <f>Q12*Q11/100</f>
        <v>0</v>
      </c>
      <c r="S13" s="2645">
        <v>10</v>
      </c>
      <c r="T13" s="2673">
        <f>Energ.!O$57</f>
        <v>0</v>
      </c>
      <c r="U13" s="950"/>
      <c r="AC13" s="434" t="s">
        <v>237</v>
      </c>
    </row>
    <row r="14" spans="1:45" s="434" customFormat="1" ht="15.65" x14ac:dyDescent="0.25">
      <c r="C14" s="825"/>
      <c r="D14" s="851" t="s">
        <v>130</v>
      </c>
      <c r="F14" s="438"/>
      <c r="J14" s="499" t="s">
        <v>72</v>
      </c>
      <c r="K14" s="1232">
        <f>SUM(M14:Q14)</f>
        <v>76.5</v>
      </c>
      <c r="L14" s="1233"/>
      <c r="M14" s="865">
        <f>M6*(100-M8)/100</f>
        <v>26.774999999999999</v>
      </c>
      <c r="N14" s="866">
        <f>N6*(100-N8)/100</f>
        <v>19.125</v>
      </c>
      <c r="O14" s="866">
        <f>O6*(100-O8)/100</f>
        <v>15.3</v>
      </c>
      <c r="P14" s="866">
        <f>P6*(100-P8)/100</f>
        <v>15.3</v>
      </c>
      <c r="Q14" s="867">
        <f>Q6*(100-Q8)/100</f>
        <v>0</v>
      </c>
      <c r="S14" s="501"/>
      <c r="AA14" s="1952" t="s">
        <v>238</v>
      </c>
      <c r="AC14" s="2054">
        <v>0.3</v>
      </c>
    </row>
    <row r="15" spans="1:45" s="434" customFormat="1" ht="15.8" customHeight="1" x14ac:dyDescent="0.25">
      <c r="C15" s="825"/>
      <c r="D15" s="448"/>
      <c r="E15" s="448"/>
      <c r="F15" s="449"/>
      <c r="G15" s="448"/>
      <c r="H15" s="448"/>
      <c r="I15" s="448"/>
      <c r="J15" s="1764" t="s">
        <v>376</v>
      </c>
      <c r="K15" s="1232">
        <f>SUM(M15:Q15)</f>
        <v>425</v>
      </c>
      <c r="L15" s="1233"/>
      <c r="M15" s="865">
        <f>IF(M10=0,0,M14/M10*100)</f>
        <v>148.74999999999997</v>
      </c>
      <c r="N15" s="866">
        <f>IF(N10=0,0,N14/N10*100)</f>
        <v>106.25</v>
      </c>
      <c r="O15" s="866">
        <f>IF(O10=0,0,O14/O10*100)</f>
        <v>85.000000000000014</v>
      </c>
      <c r="P15" s="866">
        <f>IF(P10=0,0,P14/P10*100)</f>
        <v>85.000000000000014</v>
      </c>
      <c r="Q15" s="867">
        <f>IF(Q10=0,0,Q14/Q10*100)</f>
        <v>0</v>
      </c>
      <c r="AA15" s="1952" t="s">
        <v>287</v>
      </c>
      <c r="AC15" s="2054">
        <v>0</v>
      </c>
    </row>
    <row r="16" spans="1:45" s="501" customFormat="1" ht="15.8" customHeight="1" x14ac:dyDescent="0.2">
      <c r="A16" s="868"/>
      <c r="B16" s="868"/>
      <c r="C16" s="869"/>
      <c r="D16" s="1921" t="s">
        <v>942</v>
      </c>
      <c r="E16" s="868"/>
      <c r="F16" s="823"/>
      <c r="G16" s="868"/>
      <c r="H16" s="868"/>
      <c r="I16" s="868"/>
      <c r="J16" s="897" t="s">
        <v>378</v>
      </c>
      <c r="K16" s="3347">
        <f>SUM(M16:Q16)</f>
        <v>0</v>
      </c>
      <c r="L16" s="3348"/>
      <c r="M16" s="1793">
        <f>IF(V5&lt;4,0,IF(M12=0,0,M15/M12))</f>
        <v>0</v>
      </c>
      <c r="N16" s="1794">
        <f>IF(W5&lt;4,0,IF(N12=0,0,N15/N12))</f>
        <v>0</v>
      </c>
      <c r="O16" s="1794">
        <f>IF(X5&lt;4,0,IF(O12=0,0,O15/O12))</f>
        <v>0</v>
      </c>
      <c r="P16" s="1794">
        <f>IF(Y5&lt;4,0,IF(P12=0,0,P15/P12))</f>
        <v>0</v>
      </c>
      <c r="Q16" s="1795">
        <f>IF(Z5&lt;4,0,IF(Q12=0,0,1/Q12*Q15))</f>
        <v>0</v>
      </c>
      <c r="R16" s="447"/>
      <c r="Y16" s="434"/>
      <c r="AA16" s="1952" t="s">
        <v>288</v>
      </c>
      <c r="AC16" s="2055">
        <v>0</v>
      </c>
      <c r="AE16" s="434"/>
      <c r="AF16" s="434"/>
      <c r="AG16" s="434"/>
    </row>
    <row r="17" spans="1:34" s="433" customFormat="1" ht="14.95" customHeight="1" x14ac:dyDescent="0.2">
      <c r="A17" s="830"/>
      <c r="B17" s="833"/>
      <c r="C17" s="849"/>
      <c r="D17" s="851" t="s">
        <v>131</v>
      </c>
      <c r="E17" s="851"/>
      <c r="F17" s="851"/>
      <c r="G17" s="851"/>
      <c r="H17" s="852"/>
      <c r="I17" s="852"/>
      <c r="J17" s="877" t="s">
        <v>72</v>
      </c>
      <c r="K17" s="1234">
        <f>SUM(M17:Q17)</f>
        <v>76.5</v>
      </c>
      <c r="L17" s="1235"/>
      <c r="M17" s="865">
        <f>M14*(100-M9)/100</f>
        <v>26.774999999999999</v>
      </c>
      <c r="N17" s="870">
        <f>N14*(100-N9)/100</f>
        <v>19.125</v>
      </c>
      <c r="O17" s="870">
        <f>O14*(100-O9)/100</f>
        <v>15.3</v>
      </c>
      <c r="P17" s="870">
        <f>P14*(100-P9)/100</f>
        <v>15.3</v>
      </c>
      <c r="Q17" s="871">
        <f>Q14*(100-Q9)/100</f>
        <v>0</v>
      </c>
      <c r="R17" s="447"/>
      <c r="S17" s="447"/>
      <c r="Y17" s="434"/>
      <c r="AA17" s="2057" t="s">
        <v>209</v>
      </c>
      <c r="AC17" s="2056">
        <v>0</v>
      </c>
      <c r="AE17" s="434"/>
      <c r="AF17" s="434"/>
      <c r="AG17" s="434"/>
    </row>
    <row r="18" spans="1:34" s="433" customFormat="1" ht="14.95" customHeight="1" x14ac:dyDescent="0.2">
      <c r="A18" s="847"/>
      <c r="B18" s="833"/>
      <c r="C18" s="849"/>
      <c r="D18" s="851"/>
      <c r="E18" s="851"/>
      <c r="F18" s="851"/>
      <c r="G18" s="851"/>
      <c r="H18" s="852"/>
      <c r="I18" s="852"/>
      <c r="J18" s="877" t="s">
        <v>376</v>
      </c>
      <c r="K18" s="1234">
        <f>SUM(M18:Q18)</f>
        <v>425</v>
      </c>
      <c r="L18" s="1235"/>
      <c r="M18" s="865">
        <f>IF(M11=0,0,M17/M11*100)</f>
        <v>148.74999999999997</v>
      </c>
      <c r="N18" s="870">
        <f>IF(N11=0,0,N17/N11*100)</f>
        <v>106.25</v>
      </c>
      <c r="O18" s="870">
        <f>IF(O11=0,0,O17/O11*100)</f>
        <v>85.000000000000014</v>
      </c>
      <c r="P18" s="870">
        <f>IF(P11=0,0,P17/P11*100)</f>
        <v>85.000000000000014</v>
      </c>
      <c r="Q18" s="871">
        <f>IF(Q11=0,0,Q17/Q11*100)</f>
        <v>0</v>
      </c>
      <c r="R18" s="447"/>
      <c r="S18" s="447"/>
      <c r="U18" s="2191"/>
      <c r="Y18" s="434"/>
      <c r="AE18" s="434"/>
      <c r="AF18" s="434"/>
      <c r="AG18" s="434"/>
    </row>
    <row r="19" spans="1:34" s="433" customFormat="1" ht="14.95" customHeight="1" x14ac:dyDescent="0.2">
      <c r="A19" s="847"/>
      <c r="B19" s="833"/>
      <c r="C19" s="872"/>
      <c r="D19" s="873"/>
      <c r="E19" s="873"/>
      <c r="F19" s="873"/>
      <c r="G19" s="873"/>
      <c r="H19" s="862"/>
      <c r="I19" s="862"/>
      <c r="J19" s="562" t="s">
        <v>378</v>
      </c>
      <c r="K19" s="1236"/>
      <c r="L19" s="1237"/>
      <c r="M19" s="423"/>
      <c r="N19" s="874"/>
      <c r="O19" s="874"/>
      <c r="P19" s="874"/>
      <c r="Q19" s="875"/>
      <c r="R19" s="447"/>
      <c r="S19" s="447"/>
      <c r="Y19" s="434"/>
      <c r="AE19" s="434"/>
      <c r="AF19" s="434"/>
      <c r="AG19" s="434"/>
    </row>
    <row r="20" spans="1:34" s="434" customFormat="1" ht="14.95" customHeight="1" x14ac:dyDescent="0.2">
      <c r="C20" s="825"/>
      <c r="D20" s="851" t="s">
        <v>132</v>
      </c>
      <c r="E20" s="448"/>
      <c r="F20" s="448"/>
      <c r="G20" s="448"/>
      <c r="H20" s="852"/>
      <c r="J20" s="2636" t="s">
        <v>133</v>
      </c>
      <c r="K20" s="1229">
        <f>(M$17*M20+N$17*N20+O$17*O20+P$17*P20+Q$17*Q20)/K$17</f>
        <v>6.1499999999999995</v>
      </c>
      <c r="L20" s="1238"/>
      <c r="M20" s="254">
        <v>6.5</v>
      </c>
      <c r="N20" s="255">
        <v>6.3</v>
      </c>
      <c r="O20" s="255">
        <v>5.9</v>
      </c>
      <c r="P20" s="255">
        <v>5.6</v>
      </c>
      <c r="Q20" s="256"/>
    </row>
    <row r="21" spans="1:34" s="433" customFormat="1" ht="14.95" customHeight="1" x14ac:dyDescent="0.2">
      <c r="A21" s="830"/>
      <c r="B21" s="876"/>
      <c r="C21" s="849"/>
      <c r="D21" s="78"/>
      <c r="E21" s="434"/>
      <c r="F21" s="877" t="s">
        <v>134</v>
      </c>
      <c r="G21" s="427">
        <v>0.6</v>
      </c>
      <c r="H21" s="852"/>
      <c r="J21" s="877" t="s">
        <v>135</v>
      </c>
      <c r="K21" s="1229">
        <f>(M$17*M21+N$17*N21+O$17*O21+P$17*P21+Q$17*Q21)/K$17</f>
        <v>10.25</v>
      </c>
      <c r="L21" s="1238"/>
      <c r="M21" s="428">
        <f>IF($G21=0,0,M20/$G21)</f>
        <v>10.833333333333334</v>
      </c>
      <c r="N21" s="429">
        <f>IF($G21=0,0,N20/$G21)</f>
        <v>10.5</v>
      </c>
      <c r="O21" s="429">
        <f>IF($G21=0,0,O20/$G21)</f>
        <v>9.8333333333333339</v>
      </c>
      <c r="P21" s="429">
        <f>IF($G21=0,0,P20/$G21)</f>
        <v>9.3333333333333339</v>
      </c>
      <c r="Q21" s="430">
        <f>IF($G21=0,0,Q20/$G21)</f>
        <v>0</v>
      </c>
      <c r="R21" s="447"/>
      <c r="S21" s="447"/>
      <c r="Y21" s="434"/>
      <c r="AE21" s="434"/>
      <c r="AF21" s="434"/>
      <c r="AG21" s="434"/>
    </row>
    <row r="22" spans="1:34" s="433" customFormat="1" ht="18.7" customHeight="1" x14ac:dyDescent="0.2">
      <c r="A22" s="830"/>
      <c r="B22" s="876"/>
      <c r="C22" s="849"/>
      <c r="D22" s="878"/>
      <c r="E22" s="851"/>
      <c r="F22" s="851"/>
      <c r="G22" s="851"/>
      <c r="H22" s="852"/>
      <c r="J22" s="877" t="s">
        <v>136</v>
      </c>
      <c r="K22" s="1239">
        <f>SUM(M22:Q22)</f>
        <v>4704.75</v>
      </c>
      <c r="L22" s="1240"/>
      <c r="M22" s="385">
        <f t="shared" ref="M22:Q23" si="0">M$17*M20*10</f>
        <v>1740.375</v>
      </c>
      <c r="N22" s="387">
        <f t="shared" si="0"/>
        <v>1204.875</v>
      </c>
      <c r="O22" s="387">
        <f t="shared" si="0"/>
        <v>902.7</v>
      </c>
      <c r="P22" s="387">
        <f t="shared" si="0"/>
        <v>856.8</v>
      </c>
      <c r="Q22" s="389">
        <f t="shared" si="0"/>
        <v>0</v>
      </c>
      <c r="R22" s="447"/>
      <c r="S22" s="447"/>
      <c r="Y22" s="434"/>
      <c r="AE22" s="434"/>
      <c r="AF22" s="434"/>
      <c r="AG22" s="434"/>
    </row>
    <row r="23" spans="1:34" s="433" customFormat="1" ht="14.95" customHeight="1" x14ac:dyDescent="0.2">
      <c r="A23" s="841"/>
      <c r="B23" s="879"/>
      <c r="C23" s="843"/>
      <c r="D23" s="880"/>
      <c r="E23" s="881"/>
      <c r="F23" s="881"/>
      <c r="G23" s="823"/>
      <c r="H23" s="305"/>
      <c r="I23" s="1765"/>
      <c r="J23" s="1172" t="s">
        <v>137</v>
      </c>
      <c r="K23" s="1241">
        <f>SUM(M23:Q23)</f>
        <v>7841.25</v>
      </c>
      <c r="L23" s="1242"/>
      <c r="M23" s="386">
        <f t="shared" si="0"/>
        <v>2900.625</v>
      </c>
      <c r="N23" s="388">
        <f t="shared" si="0"/>
        <v>2008.125</v>
      </c>
      <c r="O23" s="388">
        <f t="shared" si="0"/>
        <v>1504.5000000000002</v>
      </c>
      <c r="P23" s="388">
        <f t="shared" si="0"/>
        <v>1428</v>
      </c>
      <c r="Q23" s="390">
        <f t="shared" si="0"/>
        <v>0</v>
      </c>
      <c r="R23" s="447"/>
      <c r="S23" s="447"/>
      <c r="Y23" s="434"/>
      <c r="AE23" s="434"/>
      <c r="AF23" s="434"/>
      <c r="AG23" s="434"/>
    </row>
    <row r="24" spans="1:34" s="433" customFormat="1" ht="14.95" customHeight="1" x14ac:dyDescent="0.2">
      <c r="A24" s="2086"/>
      <c r="B24" s="2048"/>
      <c r="C24" s="2049"/>
      <c r="D24" s="2050"/>
      <c r="E24" s="2051"/>
      <c r="F24" s="2051"/>
      <c r="G24" s="2052"/>
      <c r="H24" s="2025"/>
      <c r="I24" s="2053"/>
      <c r="J24" s="2060" t="str">
        <f>"anrechenbarer Nährstoffwert bei Gülledüngung zu "&amp;K24*100&amp;"%"</f>
        <v>anrechenbarer Nährstoffwert bei Gülledüngung zu 0%</v>
      </c>
      <c r="K24" s="2103"/>
      <c r="L24" s="2059">
        <f>K24*(L36*(1-$AC$14)+L37*(1-$AC$15)+L38*(1-$AC$16)+L39*(1-$AC$17))</f>
        <v>0</v>
      </c>
      <c r="M24" s="2046">
        <f>M14/$K$14*$L$24</f>
        <v>0</v>
      </c>
      <c r="N24" s="2047">
        <f>N14/$K$14*$L$24</f>
        <v>0</v>
      </c>
      <c r="O24" s="2047">
        <f>O14/$K$14*$L$24</f>
        <v>0</v>
      </c>
      <c r="P24" s="2047">
        <f>P14/$K$14*$L$24</f>
        <v>0</v>
      </c>
      <c r="Q24" s="2045">
        <f>Q14/$K$14*$L$24</f>
        <v>0</v>
      </c>
      <c r="R24" s="2212"/>
      <c r="S24" s="447"/>
      <c r="Y24" s="434"/>
      <c r="AE24" s="434"/>
      <c r="AF24" s="434"/>
      <c r="AG24" s="434"/>
    </row>
    <row r="25" spans="1:34" s="435" customFormat="1" ht="16.5" customHeight="1" x14ac:dyDescent="0.2">
      <c r="A25" s="882"/>
      <c r="B25" s="883" t="s">
        <v>138</v>
      </c>
      <c r="C25" s="884"/>
      <c r="D25" s="885" t="s">
        <v>506</v>
      </c>
      <c r="E25" s="850"/>
      <c r="F25" s="850"/>
      <c r="G25" s="850"/>
      <c r="H25" s="850"/>
      <c r="I25" s="850"/>
      <c r="J25" s="1766" t="s">
        <v>154</v>
      </c>
      <c r="K25" s="1243"/>
      <c r="L25" s="1279">
        <f>SUM(L26:L29)</f>
        <v>290</v>
      </c>
      <c r="M25" s="886">
        <f>$L25*M7/100</f>
        <v>101.5</v>
      </c>
      <c r="N25" s="870">
        <f>$L25*N7/100</f>
        <v>72.5</v>
      </c>
      <c r="O25" s="870">
        <f>$L25*O7/100</f>
        <v>58</v>
      </c>
      <c r="P25" s="870">
        <f>$L25*P7/100</f>
        <v>58</v>
      </c>
      <c r="Q25" s="871">
        <f>$L25*Q7/100</f>
        <v>0</v>
      </c>
      <c r="R25" s="449"/>
      <c r="S25" s="449"/>
      <c r="Y25" s="434"/>
      <c r="AE25" s="434"/>
      <c r="AF25" s="434"/>
      <c r="AG25" s="434"/>
      <c r="AH25" s="434"/>
    </row>
    <row r="26" spans="1:34" s="436" customFormat="1" ht="14.95" customHeight="1" x14ac:dyDescent="0.2">
      <c r="A26" s="887" t="s">
        <v>282</v>
      </c>
      <c r="B26" s="174">
        <v>1</v>
      </c>
      <c r="C26" s="77"/>
      <c r="D26" s="79"/>
      <c r="E26" s="78"/>
      <c r="F26" s="78"/>
      <c r="G26" s="78"/>
      <c r="H26" s="434"/>
      <c r="I26" s="434"/>
      <c r="J26" s="434"/>
      <c r="K26" s="1245"/>
      <c r="L26" s="1246">
        <f>IF(B26=0,0,VLOOKUP(B26,Prämien!$C$8:$M$37,11))</f>
        <v>230</v>
      </c>
      <c r="M26" s="191"/>
      <c r="N26" s="223"/>
      <c r="O26" s="223"/>
      <c r="P26" s="223"/>
      <c r="Q26" s="225"/>
      <c r="R26" s="449"/>
      <c r="S26" s="449"/>
      <c r="Y26" s="434"/>
      <c r="AE26" s="434"/>
      <c r="AF26" s="434"/>
      <c r="AG26" s="434"/>
    </row>
    <row r="27" spans="1:34" s="436" customFormat="1" ht="14.95" customHeight="1" x14ac:dyDescent="0.2">
      <c r="A27" s="887" t="s">
        <v>282</v>
      </c>
      <c r="B27" s="174">
        <v>25</v>
      </c>
      <c r="C27" s="77"/>
      <c r="D27" s="79"/>
      <c r="E27" s="78"/>
      <c r="F27" s="78"/>
      <c r="G27" s="78"/>
      <c r="H27" s="434"/>
      <c r="I27" s="434"/>
      <c r="J27" s="434"/>
      <c r="K27" s="1245"/>
      <c r="L27" s="1246">
        <f>IF(B27=0,0,VLOOKUP(B27,Prämien!$C$8:$M$37,11))</f>
        <v>60</v>
      </c>
      <c r="M27" s="191"/>
      <c r="N27" s="223"/>
      <c r="O27" s="223"/>
      <c r="P27" s="223"/>
      <c r="Q27" s="225"/>
      <c r="R27" s="449"/>
      <c r="S27" s="449"/>
      <c r="Y27" s="434"/>
      <c r="AE27" s="434"/>
      <c r="AF27" s="434"/>
      <c r="AG27" s="434"/>
    </row>
    <row r="28" spans="1:34" s="436" customFormat="1" ht="14.95" customHeight="1" x14ac:dyDescent="0.2">
      <c r="A28" s="887" t="s">
        <v>282</v>
      </c>
      <c r="B28" s="174">
        <v>30</v>
      </c>
      <c r="C28" s="77"/>
      <c r="D28" s="79"/>
      <c r="E28" s="78"/>
      <c r="F28" s="78"/>
      <c r="G28" s="78"/>
      <c r="H28" s="434"/>
      <c r="I28" s="434"/>
      <c r="J28" s="434"/>
      <c r="K28" s="1245"/>
      <c r="L28" s="1246">
        <f>IF(B28=0,0,VLOOKUP(B28,Prämien!$C$8:$M$37,11))</f>
        <v>0</v>
      </c>
      <c r="M28" s="191"/>
      <c r="N28" s="223"/>
      <c r="O28" s="223"/>
      <c r="P28" s="223"/>
      <c r="Q28" s="225"/>
      <c r="R28" s="449"/>
      <c r="S28" s="449"/>
      <c r="Y28" s="434"/>
      <c r="AE28" s="434"/>
      <c r="AF28" s="434"/>
      <c r="AG28" s="434"/>
    </row>
    <row r="29" spans="1:34" s="436" customFormat="1" ht="14.95" customHeight="1" x14ac:dyDescent="0.2">
      <c r="A29" s="888" t="s">
        <v>282</v>
      </c>
      <c r="B29" s="189">
        <v>30</v>
      </c>
      <c r="C29" s="80"/>
      <c r="D29" s="190"/>
      <c r="E29" s="81"/>
      <c r="F29" s="81"/>
      <c r="G29" s="81"/>
      <c r="H29" s="81"/>
      <c r="I29" s="81"/>
      <c r="J29" s="251"/>
      <c r="K29" s="1247"/>
      <c r="L29" s="1399">
        <f>IF(B29=0,0,VLOOKUP(B29,Prämien!$C$8:$M$37,11))</f>
        <v>0</v>
      </c>
      <c r="M29" s="221"/>
      <c r="N29" s="224"/>
      <c r="O29" s="224"/>
      <c r="P29" s="224"/>
      <c r="Q29" s="226"/>
      <c r="R29" s="449"/>
      <c r="S29" s="449"/>
      <c r="Y29" s="434"/>
      <c r="AE29" s="434"/>
      <c r="AF29" s="434"/>
      <c r="AG29" s="434"/>
    </row>
    <row r="30" spans="1:34" s="436" customFormat="1" ht="14.95" customHeight="1" x14ac:dyDescent="0.2">
      <c r="A30" s="882"/>
      <c r="B30" s="883" t="s">
        <v>138</v>
      </c>
      <c r="C30" s="77"/>
      <c r="D30" s="885" t="s">
        <v>507</v>
      </c>
      <c r="E30" s="78"/>
      <c r="F30" s="78"/>
      <c r="G30" s="78"/>
      <c r="H30" s="78"/>
      <c r="I30" s="78"/>
      <c r="J30" s="1767" t="s">
        <v>154</v>
      </c>
      <c r="K30" s="1570"/>
      <c r="L30" s="1569">
        <f>L31</f>
        <v>270</v>
      </c>
      <c r="M30" s="886">
        <f>$L30*M7/100</f>
        <v>94.5</v>
      </c>
      <c r="N30" s="870">
        <f>$L30*N7/100</f>
        <v>67.5</v>
      </c>
      <c r="O30" s="870">
        <f>$L30*O7/100</f>
        <v>54</v>
      </c>
      <c r="P30" s="870">
        <f>$L30*P7/100</f>
        <v>54</v>
      </c>
      <c r="Q30" s="871">
        <f>$L30*Q7/100</f>
        <v>0</v>
      </c>
      <c r="R30" s="449"/>
      <c r="S30" s="449"/>
      <c r="Y30" s="434"/>
      <c r="AE30" s="434"/>
      <c r="AF30" s="434"/>
      <c r="AG30" s="434"/>
    </row>
    <row r="31" spans="1:34" s="436" customFormat="1" ht="14.95" customHeight="1" x14ac:dyDescent="0.2">
      <c r="A31" s="888" t="s">
        <v>282</v>
      </c>
      <c r="B31" s="189">
        <v>1</v>
      </c>
      <c r="C31" s="80"/>
      <c r="D31" s="190"/>
      <c r="E31" s="81"/>
      <c r="F31" s="81"/>
      <c r="G31" s="81"/>
      <c r="H31" s="81"/>
      <c r="I31" s="81"/>
      <c r="J31" s="251"/>
      <c r="K31" s="1247"/>
      <c r="L31" s="1399">
        <f>IF(B31=0,0,VLOOKUP(B31,Prämien!$P$8:$Y$11,10))</f>
        <v>270</v>
      </c>
      <c r="M31" s="221"/>
      <c r="N31" s="224"/>
      <c r="O31" s="224"/>
      <c r="P31" s="224"/>
      <c r="Q31" s="226"/>
      <c r="R31" s="449"/>
      <c r="S31" s="449"/>
      <c r="Y31" s="434"/>
      <c r="AE31" s="434"/>
      <c r="AF31" s="434"/>
      <c r="AG31" s="434"/>
    </row>
    <row r="32" spans="1:34" ht="16.5" customHeight="1" x14ac:dyDescent="0.2">
      <c r="A32" s="889"/>
      <c r="B32" s="890"/>
      <c r="C32" s="846"/>
      <c r="D32" s="891" t="s">
        <v>139</v>
      </c>
      <c r="E32" s="892"/>
      <c r="F32" s="860"/>
      <c r="G32" s="893" t="s">
        <v>140</v>
      </c>
      <c r="H32" s="1173">
        <f>Preise!$M$9</f>
        <v>7</v>
      </c>
      <c r="I32" s="860"/>
      <c r="J32" s="862" t="s">
        <v>154</v>
      </c>
      <c r="K32" s="1248"/>
      <c r="L32" s="1274">
        <f>J33*$H33</f>
        <v>29.424999999999997</v>
      </c>
      <c r="M32" s="894">
        <f>$L32*M$7/100</f>
        <v>10.29875</v>
      </c>
      <c r="N32" s="895">
        <f>$L32*N$7/100</f>
        <v>7.3562499999999993</v>
      </c>
      <c r="O32" s="895">
        <f>$L32*O$7/100</f>
        <v>5.8849999999999998</v>
      </c>
      <c r="P32" s="895">
        <f>$L32*P$7/100</f>
        <v>5.8849999999999998</v>
      </c>
      <c r="Q32" s="896">
        <f>$L32*Q$7/100</f>
        <v>0</v>
      </c>
    </row>
    <row r="33" spans="1:39" ht="16.5" customHeight="1" x14ac:dyDescent="0.2">
      <c r="A33" s="889"/>
      <c r="B33" s="890"/>
      <c r="C33" s="863"/>
      <c r="D33" s="392" t="s">
        <v>349</v>
      </c>
      <c r="E33" s="392" t="s">
        <v>141</v>
      </c>
      <c r="F33" s="393">
        <v>5.5</v>
      </c>
      <c r="G33" s="392" t="s">
        <v>371</v>
      </c>
      <c r="H33" s="566">
        <f>F33*(100+H32)/100</f>
        <v>5.8849999999999998</v>
      </c>
      <c r="I33" s="897" t="s">
        <v>142</v>
      </c>
      <c r="J33" s="393">
        <v>5</v>
      </c>
      <c r="K33" s="1250"/>
      <c r="L33" s="1251"/>
      <c r="M33" s="898"/>
      <c r="N33" s="899"/>
      <c r="O33" s="899"/>
      <c r="P33" s="899"/>
      <c r="Q33" s="900"/>
    </row>
    <row r="34" spans="1:39" s="437" customFormat="1" ht="16.5" customHeight="1" x14ac:dyDescent="0.2">
      <c r="A34" s="901"/>
      <c r="B34" s="902"/>
      <c r="C34" s="295"/>
      <c r="D34" s="2081" t="str">
        <f>"Düngung (abzgl.   "&amp;ROUND(L24,0)&amp;  "€ = "&amp;ROUND(K24*100,0)&amp;"%Güllerücklieferung)"</f>
        <v>Düngung (abzgl.   0€ = 0%Güllerücklieferung)</v>
      </c>
      <c r="E34" s="146"/>
      <c r="F34" s="903"/>
      <c r="G34" s="861"/>
      <c r="H34" s="861"/>
      <c r="I34" s="861"/>
      <c r="J34" s="394" t="s">
        <v>154</v>
      </c>
      <c r="K34" s="1252"/>
      <c r="L34" s="1249">
        <f>SUM(L36:L39)-L24</f>
        <v>393.27119999999996</v>
      </c>
      <c r="M34" s="894">
        <f>$L34*M$7/100</f>
        <v>137.64491999999998</v>
      </c>
      <c r="N34" s="895">
        <f>$L34*N$7/100</f>
        <v>98.317799999999991</v>
      </c>
      <c r="O34" s="895">
        <f>$L34*O$7/100</f>
        <v>78.654239999999987</v>
      </c>
      <c r="P34" s="895">
        <f>$L34*P$7/100</f>
        <v>78.654239999999987</v>
      </c>
      <c r="Q34" s="896">
        <f>$L34*Q$7/100</f>
        <v>0</v>
      </c>
      <c r="R34" s="2211"/>
      <c r="S34" s="449"/>
      <c r="Y34" s="434"/>
      <c r="AE34" s="434"/>
      <c r="AF34" s="434"/>
      <c r="AG34" s="434"/>
    </row>
    <row r="35" spans="1:39" s="437" customFormat="1" ht="14.95" customHeight="1" x14ac:dyDescent="0.2">
      <c r="A35" s="901"/>
      <c r="B35" s="902"/>
      <c r="C35" s="295"/>
      <c r="D35" s="294" t="s">
        <v>143</v>
      </c>
      <c r="E35" s="146"/>
      <c r="F35" s="904" t="s">
        <v>144</v>
      </c>
      <c r="G35" s="860"/>
      <c r="H35" s="905" t="s">
        <v>145</v>
      </c>
      <c r="I35" s="906" t="s">
        <v>146</v>
      </c>
      <c r="J35" s="907"/>
      <c r="K35" s="1253" t="s">
        <v>147</v>
      </c>
      <c r="L35" s="1254" t="s">
        <v>154</v>
      </c>
      <c r="M35" s="909"/>
      <c r="N35" s="910"/>
      <c r="O35" s="910"/>
      <c r="P35" s="910"/>
      <c r="Q35" s="911"/>
      <c r="R35" s="449"/>
      <c r="S35" s="449"/>
      <c r="Y35" s="434"/>
      <c r="AE35" s="434"/>
      <c r="AF35" s="434"/>
      <c r="AG35" s="434"/>
    </row>
    <row r="36" spans="1:39" s="436" customFormat="1" ht="14.95" customHeight="1" x14ac:dyDescent="0.2">
      <c r="A36" s="912"/>
      <c r="B36" s="848"/>
      <c r="C36" s="103"/>
      <c r="D36" s="104" t="s">
        <v>206</v>
      </c>
      <c r="E36" s="104"/>
      <c r="F36" s="395">
        <f>IF(Preise!$S$23=TRUE,Preise!M14,0)</f>
        <v>3.57</v>
      </c>
      <c r="G36" s="434"/>
      <c r="H36" s="111">
        <v>1.44</v>
      </c>
      <c r="I36" s="112"/>
      <c r="J36" s="913"/>
      <c r="K36" s="1255">
        <f>H36*$K$14+I36</f>
        <v>110.16</v>
      </c>
      <c r="L36" s="1256">
        <f>K36*$F36</f>
        <v>393.27119999999996</v>
      </c>
      <c r="M36" s="914"/>
      <c r="N36" s="915"/>
      <c r="O36" s="915"/>
      <c r="P36" s="915"/>
      <c r="Q36" s="916"/>
      <c r="R36" s="449"/>
      <c r="S36" s="449"/>
      <c r="Y36" s="434"/>
      <c r="AE36" s="434"/>
      <c r="AF36" s="434"/>
      <c r="AG36" s="434"/>
    </row>
    <row r="37" spans="1:39" s="436" customFormat="1" ht="14.95" customHeight="1" x14ac:dyDescent="0.2">
      <c r="A37" s="912"/>
      <c r="B37" s="917"/>
      <c r="C37" s="103"/>
      <c r="D37" s="104" t="s">
        <v>148</v>
      </c>
      <c r="E37" s="104"/>
      <c r="F37" s="395">
        <f>IF(Preise!$S$23=TRUE,Preise!M15,0)</f>
        <v>2.5942000000000003</v>
      </c>
      <c r="G37" s="3156" t="s">
        <v>1415</v>
      </c>
      <c r="H37" s="3152">
        <v>0</v>
      </c>
      <c r="I37" s="3153"/>
      <c r="J37" s="913"/>
      <c r="K37" s="1255">
        <f>H37*$K$14+I37</f>
        <v>0</v>
      </c>
      <c r="L37" s="1256">
        <f>K37*$F37</f>
        <v>0</v>
      </c>
      <c r="M37" s="914"/>
      <c r="N37" s="915"/>
      <c r="O37" s="915"/>
      <c r="P37" s="915"/>
      <c r="Q37" s="916"/>
      <c r="R37" s="449"/>
      <c r="S37" s="449"/>
      <c r="Y37" s="434"/>
      <c r="AE37" s="434"/>
      <c r="AF37" s="434"/>
      <c r="AG37" s="434"/>
    </row>
    <row r="38" spans="1:39" s="436" customFormat="1" ht="14.95" customHeight="1" x14ac:dyDescent="0.2">
      <c r="A38" s="912"/>
      <c r="B38" s="918"/>
      <c r="C38" s="103"/>
      <c r="D38" s="104" t="s">
        <v>149</v>
      </c>
      <c r="E38" s="104"/>
      <c r="F38" s="395">
        <f>IF(Preise!$S$23=TRUE,Preise!M16,0)</f>
        <v>0.92820000000000003</v>
      </c>
      <c r="G38" s="3156">
        <v>2017</v>
      </c>
      <c r="H38" s="3152">
        <v>0</v>
      </c>
      <c r="I38" s="3153"/>
      <c r="J38" s="913"/>
      <c r="K38" s="1255">
        <f>H38*$K$14+I38</f>
        <v>0</v>
      </c>
      <c r="L38" s="1256">
        <f>K38*$F38</f>
        <v>0</v>
      </c>
      <c r="M38" s="914"/>
      <c r="N38" s="915"/>
      <c r="O38" s="915"/>
      <c r="P38" s="915"/>
      <c r="Q38" s="916"/>
      <c r="R38" s="449"/>
      <c r="S38" s="449"/>
      <c r="Y38" s="434"/>
      <c r="AE38" s="434"/>
      <c r="AF38" s="434"/>
      <c r="AG38" s="434"/>
    </row>
    <row r="39" spans="1:39" s="436" customFormat="1" ht="14.95" customHeight="1" x14ac:dyDescent="0.2">
      <c r="A39" s="458"/>
      <c r="B39" s="919"/>
      <c r="C39" s="105"/>
      <c r="D39" s="106" t="s">
        <v>209</v>
      </c>
      <c r="E39" s="106"/>
      <c r="F39" s="396">
        <f>IF(Preise!$S$23=TRUE,Preise!M17,0)</f>
        <v>1.9753999999999998</v>
      </c>
      <c r="G39" s="3157" t="s">
        <v>1416</v>
      </c>
      <c r="H39" s="3154">
        <v>0</v>
      </c>
      <c r="I39" s="3155"/>
      <c r="J39" s="920"/>
      <c r="K39" s="1257">
        <f>H39*$K$14+I39</f>
        <v>0</v>
      </c>
      <c r="L39" s="1258">
        <f>K39*$F39</f>
        <v>0</v>
      </c>
      <c r="M39" s="921"/>
      <c r="N39" s="922"/>
      <c r="O39" s="922"/>
      <c r="P39" s="922"/>
      <c r="Q39" s="923"/>
      <c r="R39" s="449"/>
      <c r="S39" s="449"/>
      <c r="Y39" s="434"/>
      <c r="AE39" s="434"/>
      <c r="AF39" s="434"/>
      <c r="AG39" s="434"/>
    </row>
    <row r="40" spans="1:39" s="437" customFormat="1" ht="16.5" customHeight="1" x14ac:dyDescent="0.2">
      <c r="A40" s="901"/>
      <c r="B40" s="902"/>
      <c r="C40" s="116"/>
      <c r="D40" s="117" t="s">
        <v>150</v>
      </c>
      <c r="E40" s="117"/>
      <c r="F40" s="118"/>
      <c r="G40" s="768" t="s">
        <v>140</v>
      </c>
      <c r="H40" s="563">
        <f>Preise!$M$10</f>
        <v>19</v>
      </c>
      <c r="I40" s="822"/>
      <c r="J40" s="301" t="s">
        <v>154</v>
      </c>
      <c r="K40" s="1259"/>
      <c r="L40" s="1244">
        <f>SUM(L42:L42)</f>
        <v>0</v>
      </c>
      <c r="M40" s="886">
        <f>$L40*M$7/100</f>
        <v>0</v>
      </c>
      <c r="N40" s="870">
        <f>$L40*N$7/100</f>
        <v>0</v>
      </c>
      <c r="O40" s="870">
        <f>$L40*O$7/100</f>
        <v>0</v>
      </c>
      <c r="P40" s="870">
        <f>$L40*P$7/100</f>
        <v>0</v>
      </c>
      <c r="Q40" s="871">
        <f>$L40*Q$7/100</f>
        <v>0</v>
      </c>
      <c r="R40" s="449"/>
      <c r="S40" s="449"/>
      <c r="Y40" s="434"/>
      <c r="AE40" s="434"/>
      <c r="AF40" s="434"/>
      <c r="AG40" s="434"/>
    </row>
    <row r="41" spans="1:39" s="437" customFormat="1" ht="14.95" customHeight="1" x14ac:dyDescent="0.2">
      <c r="A41" s="901"/>
      <c r="B41" s="902"/>
      <c r="C41" s="119"/>
      <c r="D41" s="294" t="s">
        <v>151</v>
      </c>
      <c r="E41" s="120"/>
      <c r="F41" s="121"/>
      <c r="G41" s="924" t="s">
        <v>349</v>
      </c>
      <c r="H41" s="924" t="s">
        <v>152</v>
      </c>
      <c r="I41" s="925" t="s">
        <v>371</v>
      </c>
      <c r="J41" s="122"/>
      <c r="K41" s="1260" t="s">
        <v>153</v>
      </c>
      <c r="L41" s="1261" t="s">
        <v>154</v>
      </c>
      <c r="M41" s="926"/>
      <c r="N41" s="927"/>
      <c r="O41" s="927"/>
      <c r="P41" s="927"/>
      <c r="Q41" s="928"/>
      <c r="R41" s="449"/>
      <c r="S41" s="449"/>
      <c r="Y41" s="434"/>
      <c r="AE41" s="434"/>
      <c r="AF41" s="434"/>
      <c r="AG41" s="434"/>
    </row>
    <row r="42" spans="1:39" s="436" customFormat="1" ht="14.95" customHeight="1" x14ac:dyDescent="0.2">
      <c r="A42" s="80"/>
      <c r="B42" s="762"/>
      <c r="C42" s="105"/>
      <c r="D42" s="2216" t="s">
        <v>677</v>
      </c>
      <c r="E42" s="126"/>
      <c r="F42" s="126"/>
      <c r="G42" s="107"/>
      <c r="H42" s="154">
        <v>25</v>
      </c>
      <c r="I42" s="565">
        <f>H42*($H$40+100)/100</f>
        <v>29.75</v>
      </c>
      <c r="J42" s="929"/>
      <c r="K42" s="670"/>
      <c r="L42" s="1258">
        <f>$I42*K42</f>
        <v>0</v>
      </c>
      <c r="M42" s="921"/>
      <c r="N42" s="922"/>
      <c r="O42" s="922"/>
      <c r="P42" s="922"/>
      <c r="Q42" s="923"/>
      <c r="R42" s="449"/>
      <c r="S42" s="449"/>
      <c r="Y42" s="434"/>
      <c r="AE42" s="434"/>
      <c r="AF42" s="434"/>
      <c r="AG42" s="434"/>
    </row>
    <row r="43" spans="1:39" s="437" customFormat="1" ht="16.5" customHeight="1" x14ac:dyDescent="0.2">
      <c r="A43" s="901"/>
      <c r="B43" s="930"/>
      <c r="C43" s="116"/>
      <c r="D43" s="117" t="s">
        <v>397</v>
      </c>
      <c r="E43" s="117"/>
      <c r="F43" s="117"/>
      <c r="G43" s="117"/>
      <c r="H43" s="117"/>
      <c r="I43" s="434"/>
      <c r="J43" s="301" t="s">
        <v>154</v>
      </c>
      <c r="K43" s="1262"/>
      <c r="L43" s="1244">
        <f>SUM(M43:Q43)</f>
        <v>37.978594302399998</v>
      </c>
      <c r="M43" s="931">
        <f>SUM(Z46:Z56)</f>
        <v>9.4946485755999994</v>
      </c>
      <c r="N43" s="931">
        <f>SUM(AA46:AA56)</f>
        <v>9.4946485755999994</v>
      </c>
      <c r="O43" s="931">
        <f>SUM(AB46:AB56)</f>
        <v>9.4946485755999994</v>
      </c>
      <c r="P43" s="931">
        <f>SUM(AC46:AC56)</f>
        <v>9.4946485755999994</v>
      </c>
      <c r="Q43" s="1165">
        <f>SUM(AD46:AD56)</f>
        <v>0</v>
      </c>
      <c r="R43" s="449"/>
      <c r="S43" s="449"/>
      <c r="T43" s="434" t="s">
        <v>398</v>
      </c>
      <c r="Y43" s="434"/>
      <c r="Z43" s="434" t="s">
        <v>399</v>
      </c>
      <c r="AE43" s="434"/>
      <c r="AF43" s="434"/>
      <c r="AG43" s="434"/>
      <c r="AH43" s="434"/>
      <c r="AI43" s="434"/>
    </row>
    <row r="44" spans="1:39" s="436" customFormat="1" ht="14.95" customHeight="1" x14ac:dyDescent="0.2">
      <c r="A44" s="77"/>
      <c r="B44" s="883"/>
      <c r="C44" s="127"/>
      <c r="D44" s="128" t="s">
        <v>400</v>
      </c>
      <c r="E44" s="129"/>
      <c r="F44" s="128"/>
      <c r="G44" s="306" t="s">
        <v>52</v>
      </c>
      <c r="H44" s="932" t="s">
        <v>401</v>
      </c>
      <c r="I44" s="933"/>
      <c r="J44" s="934" t="s">
        <v>402</v>
      </c>
      <c r="K44" s="1263" t="s">
        <v>161</v>
      </c>
      <c r="L44" s="1264" t="s">
        <v>154</v>
      </c>
      <c r="M44" s="935" t="s">
        <v>403</v>
      </c>
      <c r="N44" s="936"/>
      <c r="O44" s="936"/>
      <c r="P44" s="936"/>
      <c r="Q44" s="937"/>
      <c r="R44" s="449"/>
      <c r="S44" s="449"/>
      <c r="T44" s="450" t="s">
        <v>183</v>
      </c>
      <c r="U44" s="451"/>
      <c r="V44" s="451"/>
      <c r="W44" s="451"/>
      <c r="X44" s="452"/>
      <c r="Y44" s="434"/>
      <c r="Z44" s="450" t="s">
        <v>183</v>
      </c>
      <c r="AA44" s="451"/>
      <c r="AB44" s="451"/>
      <c r="AC44" s="451"/>
      <c r="AD44" s="452"/>
      <c r="AE44" s="434"/>
      <c r="AF44" s="434"/>
      <c r="AG44" s="434"/>
      <c r="AH44" s="434"/>
      <c r="AI44" s="434"/>
      <c r="AJ44" s="434"/>
      <c r="AK44" s="434"/>
      <c r="AL44" s="434"/>
      <c r="AM44" s="434"/>
    </row>
    <row r="45" spans="1:39" s="436" customFormat="1" ht="14.95" customHeight="1" x14ac:dyDescent="0.2">
      <c r="A45" s="77"/>
      <c r="B45" s="883" t="s">
        <v>184</v>
      </c>
      <c r="C45" s="130"/>
      <c r="D45" s="861"/>
      <c r="E45" s="861"/>
      <c r="F45" s="131"/>
      <c r="G45" s="155" t="s">
        <v>340</v>
      </c>
      <c r="H45" s="155" t="s">
        <v>161</v>
      </c>
      <c r="I45" s="155" t="s">
        <v>154</v>
      </c>
      <c r="J45" s="938" t="s">
        <v>185</v>
      </c>
      <c r="K45" s="1265"/>
      <c r="L45" s="1254"/>
      <c r="M45" s="939" t="s">
        <v>186</v>
      </c>
      <c r="N45" s="940"/>
      <c r="O45" s="940"/>
      <c r="P45" s="940"/>
      <c r="Q45" s="941"/>
      <c r="R45" s="449"/>
      <c r="S45" s="449"/>
      <c r="T45" s="453" t="s">
        <v>92</v>
      </c>
      <c r="U45" s="454" t="s">
        <v>93</v>
      </c>
      <c r="V45" s="454" t="s">
        <v>94</v>
      </c>
      <c r="W45" s="454" t="s">
        <v>95</v>
      </c>
      <c r="X45" s="455" t="s">
        <v>96</v>
      </c>
      <c r="Y45" s="434"/>
      <c r="Z45" s="453" t="s">
        <v>92</v>
      </c>
      <c r="AA45" s="454" t="s">
        <v>93</v>
      </c>
      <c r="AB45" s="454" t="s">
        <v>94</v>
      </c>
      <c r="AC45" s="454" t="s">
        <v>95</v>
      </c>
      <c r="AD45" s="455" t="s">
        <v>96</v>
      </c>
      <c r="AE45" s="434"/>
      <c r="AF45" s="434"/>
      <c r="AG45" s="434"/>
      <c r="AH45" s="434"/>
      <c r="AI45" s="434"/>
      <c r="AJ45" s="434"/>
      <c r="AK45" s="434"/>
      <c r="AL45" s="434"/>
      <c r="AM45" s="434"/>
    </row>
    <row r="46" spans="1:39" s="436" customFormat="1" ht="14.95" customHeight="1" x14ac:dyDescent="0.2">
      <c r="A46" s="887" t="s">
        <v>282</v>
      </c>
      <c r="B46" s="1415">
        <v>19</v>
      </c>
      <c r="C46" s="103"/>
      <c r="D46" s="132"/>
      <c r="E46" s="438"/>
      <c r="F46" s="438"/>
      <c r="G46" s="399">
        <f>IF($B46=0,0,VLOOKUP($B46,Arbeitsgänge!$B$26:$M$78,6))</f>
        <v>45</v>
      </c>
      <c r="H46" s="424">
        <f>IF($B46=0,0,VLOOKUP($B46,Arbeitsgänge!$B$26:$M$78,11))</f>
        <v>0.86</v>
      </c>
      <c r="I46" s="400">
        <f>IF($B46=0,0,VLOOKUP($B46,Arbeitsgänge!$B$26:$T$79,12))</f>
        <v>10.375900503999997</v>
      </c>
      <c r="J46" s="493">
        <f>SUM(M46:Q46)</f>
        <v>1</v>
      </c>
      <c r="K46" s="1266">
        <f t="shared" ref="K46:K56" si="1">J46*H46</f>
        <v>0.86</v>
      </c>
      <c r="L46" s="1256">
        <f t="shared" ref="L46:L56" si="2">J46*I46</f>
        <v>10.375900503999997</v>
      </c>
      <c r="M46" s="259">
        <v>0.25</v>
      </c>
      <c r="N46" s="260">
        <v>0.25</v>
      </c>
      <c r="O46" s="260">
        <v>0.25</v>
      </c>
      <c r="P46" s="260">
        <v>0.25</v>
      </c>
      <c r="Q46" s="261"/>
      <c r="R46" s="449"/>
      <c r="S46" s="449"/>
      <c r="T46" s="406">
        <f t="shared" ref="T46:X56" si="3">IF(M46&lt;&gt;0,M46*$H46,0)</f>
        <v>0.215</v>
      </c>
      <c r="U46" s="407">
        <f t="shared" si="3"/>
        <v>0.215</v>
      </c>
      <c r="V46" s="407">
        <f t="shared" si="3"/>
        <v>0.215</v>
      </c>
      <c r="W46" s="407">
        <f t="shared" si="3"/>
        <v>0.215</v>
      </c>
      <c r="X46" s="408">
        <f t="shared" si="3"/>
        <v>0</v>
      </c>
      <c r="Y46" s="434"/>
      <c r="Z46" s="406">
        <f t="shared" ref="Z46:AD56" si="4">IF(M46&lt;&gt;0,M46*$I46,0)</f>
        <v>2.5939751259999992</v>
      </c>
      <c r="AA46" s="407">
        <f t="shared" si="4"/>
        <v>2.5939751259999992</v>
      </c>
      <c r="AB46" s="407">
        <f t="shared" si="4"/>
        <v>2.5939751259999992</v>
      </c>
      <c r="AC46" s="407">
        <f t="shared" si="4"/>
        <v>2.5939751259999992</v>
      </c>
      <c r="AD46" s="408">
        <f t="shared" si="4"/>
        <v>0</v>
      </c>
      <c r="AE46" s="434"/>
      <c r="AF46" s="434"/>
      <c r="AG46" s="434"/>
      <c r="AH46" s="434"/>
      <c r="AI46" s="434"/>
      <c r="AJ46" s="434"/>
      <c r="AK46" s="434"/>
      <c r="AL46" s="434"/>
      <c r="AM46" s="434"/>
    </row>
    <row r="47" spans="1:39" s="436" customFormat="1" ht="14.95" customHeight="1" x14ac:dyDescent="0.2">
      <c r="A47" s="887" t="s">
        <v>282</v>
      </c>
      <c r="B47" s="1415">
        <v>20</v>
      </c>
      <c r="C47" s="103"/>
      <c r="D47" s="132"/>
      <c r="E47" s="438"/>
      <c r="F47" s="438"/>
      <c r="G47" s="399">
        <f>IF($B47=0,0,VLOOKUP($B47,Arbeitsgänge!$B$26:$M$78,6))</f>
        <v>54</v>
      </c>
      <c r="H47" s="424">
        <f>IF($B47=0,0,VLOOKUP($B47,Arbeitsgänge!$B$26:$O$78,11))</f>
        <v>0.48</v>
      </c>
      <c r="I47" s="400">
        <f>IF($B47=0,0,VLOOKUP($B47,Arbeitsgänge!$B$26:$T$79,12))</f>
        <v>8.1585205184000014</v>
      </c>
      <c r="J47" s="493">
        <f t="shared" ref="J47:J56" si="5">SUM(M47:Q47)</f>
        <v>1</v>
      </c>
      <c r="K47" s="1266">
        <f t="shared" si="1"/>
        <v>0.48</v>
      </c>
      <c r="L47" s="1256">
        <f t="shared" si="2"/>
        <v>8.1585205184000014</v>
      </c>
      <c r="M47" s="259">
        <v>0.25</v>
      </c>
      <c r="N47" s="260">
        <v>0.25</v>
      </c>
      <c r="O47" s="260">
        <v>0.25</v>
      </c>
      <c r="P47" s="260">
        <v>0.25</v>
      </c>
      <c r="Q47" s="261"/>
      <c r="R47" s="449"/>
      <c r="S47" s="449"/>
      <c r="T47" s="406">
        <f t="shared" si="3"/>
        <v>0.12</v>
      </c>
      <c r="U47" s="407">
        <f t="shared" si="3"/>
        <v>0.12</v>
      </c>
      <c r="V47" s="407">
        <f t="shared" si="3"/>
        <v>0.12</v>
      </c>
      <c r="W47" s="407">
        <f t="shared" si="3"/>
        <v>0.12</v>
      </c>
      <c r="X47" s="408">
        <f t="shared" si="3"/>
        <v>0</v>
      </c>
      <c r="Y47" s="434"/>
      <c r="Z47" s="406">
        <f t="shared" si="4"/>
        <v>2.0396301296000003</v>
      </c>
      <c r="AA47" s="407">
        <f t="shared" si="4"/>
        <v>2.0396301296000003</v>
      </c>
      <c r="AB47" s="407">
        <f t="shared" si="4"/>
        <v>2.0396301296000003</v>
      </c>
      <c r="AC47" s="407">
        <f t="shared" si="4"/>
        <v>2.0396301296000003</v>
      </c>
      <c r="AD47" s="408">
        <f t="shared" si="4"/>
        <v>0</v>
      </c>
      <c r="AE47" s="434"/>
      <c r="AF47" s="434"/>
      <c r="AG47" s="434"/>
      <c r="AH47" s="434"/>
      <c r="AI47" s="434"/>
      <c r="AJ47" s="434"/>
      <c r="AK47" s="434"/>
      <c r="AL47" s="434"/>
      <c r="AM47" s="434"/>
    </row>
    <row r="48" spans="1:39" s="436" customFormat="1" ht="14.95" customHeight="1" x14ac:dyDescent="0.2">
      <c r="A48" s="887" t="s">
        <v>282</v>
      </c>
      <c r="B48" s="1415">
        <v>21</v>
      </c>
      <c r="C48" s="103"/>
      <c r="D48" s="132"/>
      <c r="E48" s="438"/>
      <c r="F48" s="438"/>
      <c r="G48" s="399">
        <f>IF($B48=0,0,VLOOKUP($B48,Arbeitsgänge!$B$26:$M$78,6))</f>
        <v>54</v>
      </c>
      <c r="H48" s="424">
        <f>IF($B48=0,0,VLOOKUP($B48,Arbeitsgänge!$B$26:$O$78,11))</f>
        <v>1.2</v>
      </c>
      <c r="I48" s="400">
        <f>IF($B48=0,0,VLOOKUP($B48,Arbeitsgänge!$B$26:$T$79,12))</f>
        <v>19.444173280000001</v>
      </c>
      <c r="J48" s="493">
        <f t="shared" si="5"/>
        <v>1</v>
      </c>
      <c r="K48" s="1266">
        <f t="shared" si="1"/>
        <v>1.2</v>
      </c>
      <c r="L48" s="1256">
        <f t="shared" si="2"/>
        <v>19.444173280000001</v>
      </c>
      <c r="M48" s="259">
        <v>0.25</v>
      </c>
      <c r="N48" s="260">
        <v>0.25</v>
      </c>
      <c r="O48" s="260">
        <v>0.25</v>
      </c>
      <c r="P48" s="260">
        <v>0.25</v>
      </c>
      <c r="Q48" s="261"/>
      <c r="R48" s="449"/>
      <c r="S48" s="449"/>
      <c r="T48" s="406">
        <f t="shared" si="3"/>
        <v>0.3</v>
      </c>
      <c r="U48" s="407">
        <f t="shared" si="3"/>
        <v>0.3</v>
      </c>
      <c r="V48" s="407">
        <f t="shared" si="3"/>
        <v>0.3</v>
      </c>
      <c r="W48" s="407">
        <f t="shared" si="3"/>
        <v>0.3</v>
      </c>
      <c r="X48" s="408">
        <f t="shared" si="3"/>
        <v>0</v>
      </c>
      <c r="Y48" s="434"/>
      <c r="Z48" s="406">
        <f t="shared" si="4"/>
        <v>4.8610433200000003</v>
      </c>
      <c r="AA48" s="407">
        <f t="shared" si="4"/>
        <v>4.8610433200000003</v>
      </c>
      <c r="AB48" s="407">
        <f t="shared" si="4"/>
        <v>4.8610433200000003</v>
      </c>
      <c r="AC48" s="407">
        <f t="shared" si="4"/>
        <v>4.8610433200000003</v>
      </c>
      <c r="AD48" s="408">
        <f t="shared" si="4"/>
        <v>0</v>
      </c>
      <c r="AE48" s="434"/>
      <c r="AF48" s="434"/>
      <c r="AG48" s="434"/>
      <c r="AH48" s="434"/>
      <c r="AI48" s="434"/>
      <c r="AJ48" s="434"/>
      <c r="AK48" s="434"/>
      <c r="AL48" s="434"/>
      <c r="AM48" s="434"/>
    </row>
    <row r="49" spans="1:39" s="436" customFormat="1" ht="14.95" customHeight="1" x14ac:dyDescent="0.2">
      <c r="A49" s="887" t="s">
        <v>282</v>
      </c>
      <c r="B49" s="1415">
        <v>34</v>
      </c>
      <c r="C49" s="103"/>
      <c r="D49" s="132"/>
      <c r="E49" s="438"/>
      <c r="F49" s="438"/>
      <c r="G49" s="399">
        <f>IF($B49=0,0,VLOOKUP($B49,Arbeitsgänge!$B$26:$M$78,6))</f>
        <v>0</v>
      </c>
      <c r="H49" s="424">
        <f>IF($B49=0,0,VLOOKUP($B49,Arbeitsgänge!$B$26:$O$78,11))</f>
        <v>0</v>
      </c>
      <c r="I49" s="400">
        <f>IF($B49=0,0,VLOOKUP($B49,Arbeitsgänge!$B$26:$T$79,12))</f>
        <v>0</v>
      </c>
      <c r="J49" s="493">
        <f t="shared" si="5"/>
        <v>0</v>
      </c>
      <c r="K49" s="1266">
        <f t="shared" si="1"/>
        <v>0</v>
      </c>
      <c r="L49" s="1256">
        <f t="shared" si="2"/>
        <v>0</v>
      </c>
      <c r="M49" s="259"/>
      <c r="N49" s="260"/>
      <c r="O49" s="260"/>
      <c r="P49" s="260"/>
      <c r="Q49" s="261"/>
      <c r="R49" s="449"/>
      <c r="S49" s="449"/>
      <c r="T49" s="406">
        <f t="shared" si="3"/>
        <v>0</v>
      </c>
      <c r="U49" s="407">
        <f t="shared" si="3"/>
        <v>0</v>
      </c>
      <c r="V49" s="407">
        <f t="shared" si="3"/>
        <v>0</v>
      </c>
      <c r="W49" s="407">
        <f t="shared" si="3"/>
        <v>0</v>
      </c>
      <c r="X49" s="408">
        <f t="shared" si="3"/>
        <v>0</v>
      </c>
      <c r="Y49" s="434"/>
      <c r="Z49" s="406">
        <f t="shared" si="4"/>
        <v>0</v>
      </c>
      <c r="AA49" s="407">
        <f t="shared" si="4"/>
        <v>0</v>
      </c>
      <c r="AB49" s="407">
        <f t="shared" si="4"/>
        <v>0</v>
      </c>
      <c r="AC49" s="407">
        <f t="shared" si="4"/>
        <v>0</v>
      </c>
      <c r="AD49" s="408">
        <f t="shared" si="4"/>
        <v>0</v>
      </c>
      <c r="AE49" s="434"/>
      <c r="AF49" s="434"/>
      <c r="AG49" s="434"/>
      <c r="AH49" s="434"/>
      <c r="AI49" s="434"/>
      <c r="AJ49" s="434"/>
      <c r="AK49" s="434"/>
      <c r="AL49" s="434"/>
      <c r="AM49" s="434"/>
    </row>
    <row r="50" spans="1:39" s="436" customFormat="1" ht="14.95" customHeight="1" x14ac:dyDescent="0.2">
      <c r="A50" s="887" t="s">
        <v>282</v>
      </c>
      <c r="B50" s="1415">
        <v>24</v>
      </c>
      <c r="C50" s="103"/>
      <c r="D50" s="132"/>
      <c r="E50" s="438"/>
      <c r="F50" s="438"/>
      <c r="G50" s="399">
        <f>IF($B50=0,0,VLOOKUP($B50,Arbeitsgänge!$B$26:$M$78,6))</f>
        <v>0</v>
      </c>
      <c r="H50" s="424">
        <f>IF($B50=0,0,VLOOKUP($B50,Arbeitsgänge!$B$26:$O$78,11))</f>
        <v>15</v>
      </c>
      <c r="I50" s="400">
        <f>IF($B50=0,0,VLOOKUP($B50,Arbeitsgänge!$B$26:$T$79,12))</f>
        <v>0</v>
      </c>
      <c r="J50" s="493">
        <f t="shared" si="5"/>
        <v>1</v>
      </c>
      <c r="K50" s="1266">
        <f t="shared" si="1"/>
        <v>15</v>
      </c>
      <c r="L50" s="1256">
        <f t="shared" si="2"/>
        <v>0</v>
      </c>
      <c r="M50" s="259">
        <v>0.25</v>
      </c>
      <c r="N50" s="260">
        <v>0.25</v>
      </c>
      <c r="O50" s="260">
        <v>0.25</v>
      </c>
      <c r="P50" s="260">
        <v>0.25</v>
      </c>
      <c r="Q50" s="261"/>
      <c r="R50" s="449"/>
      <c r="S50" s="449"/>
      <c r="T50" s="406">
        <f t="shared" si="3"/>
        <v>3.75</v>
      </c>
      <c r="U50" s="407">
        <f t="shared" si="3"/>
        <v>3.75</v>
      </c>
      <c r="V50" s="407">
        <f t="shared" si="3"/>
        <v>3.75</v>
      </c>
      <c r="W50" s="407">
        <f t="shared" si="3"/>
        <v>3.75</v>
      </c>
      <c r="X50" s="408">
        <f t="shared" si="3"/>
        <v>0</v>
      </c>
      <c r="Y50" s="434"/>
      <c r="Z50" s="406">
        <f t="shared" si="4"/>
        <v>0</v>
      </c>
      <c r="AA50" s="407">
        <f t="shared" si="4"/>
        <v>0</v>
      </c>
      <c r="AB50" s="407">
        <f t="shared" si="4"/>
        <v>0</v>
      </c>
      <c r="AC50" s="407">
        <f t="shared" si="4"/>
        <v>0</v>
      </c>
      <c r="AD50" s="408">
        <f t="shared" si="4"/>
        <v>0</v>
      </c>
      <c r="AE50" s="434"/>
      <c r="AF50" s="434"/>
      <c r="AG50" s="434"/>
      <c r="AH50" s="434"/>
      <c r="AI50" s="434"/>
      <c r="AJ50" s="434"/>
      <c r="AK50" s="434"/>
      <c r="AL50" s="434"/>
      <c r="AM50" s="434"/>
    </row>
    <row r="51" spans="1:39" s="436" customFormat="1" ht="14.95" customHeight="1" x14ac:dyDescent="0.2">
      <c r="A51" s="887" t="s">
        <v>282</v>
      </c>
      <c r="B51" s="1415">
        <v>34</v>
      </c>
      <c r="C51" s="103"/>
      <c r="D51" s="132"/>
      <c r="E51" s="438"/>
      <c r="F51" s="438"/>
      <c r="G51" s="399">
        <f>IF($B51=0,0,VLOOKUP($B51,Arbeitsgänge!$B$26:$M$78,6))</f>
        <v>0</v>
      </c>
      <c r="H51" s="424">
        <f>IF($B51=0,0,VLOOKUP($B51,Arbeitsgänge!$B$26:$O$78,11))</f>
        <v>0</v>
      </c>
      <c r="I51" s="400">
        <f>IF($B51=0,0,VLOOKUP($B51,Arbeitsgänge!$B$26:$T$79,12))</f>
        <v>0</v>
      </c>
      <c r="J51" s="493">
        <f t="shared" si="5"/>
        <v>0</v>
      </c>
      <c r="K51" s="1266">
        <f t="shared" si="1"/>
        <v>0</v>
      </c>
      <c r="L51" s="1256">
        <f t="shared" si="2"/>
        <v>0</v>
      </c>
      <c r="M51" s="259"/>
      <c r="N51" s="260"/>
      <c r="O51" s="260"/>
      <c r="P51" s="260"/>
      <c r="Q51" s="261"/>
      <c r="R51" s="449"/>
      <c r="S51" s="449"/>
      <c r="T51" s="406">
        <f t="shared" si="3"/>
        <v>0</v>
      </c>
      <c r="U51" s="407">
        <f t="shared" si="3"/>
        <v>0</v>
      </c>
      <c r="V51" s="407">
        <f t="shared" si="3"/>
        <v>0</v>
      </c>
      <c r="W51" s="407">
        <f t="shared" si="3"/>
        <v>0</v>
      </c>
      <c r="X51" s="408">
        <f t="shared" si="3"/>
        <v>0</v>
      </c>
      <c r="Y51" s="434"/>
      <c r="Z51" s="406">
        <f t="shared" si="4"/>
        <v>0</v>
      </c>
      <c r="AA51" s="407">
        <f t="shared" si="4"/>
        <v>0</v>
      </c>
      <c r="AB51" s="407">
        <f t="shared" si="4"/>
        <v>0</v>
      </c>
      <c r="AC51" s="407">
        <f t="shared" si="4"/>
        <v>0</v>
      </c>
      <c r="AD51" s="408">
        <f t="shared" si="4"/>
        <v>0</v>
      </c>
      <c r="AE51" s="434"/>
      <c r="AF51" s="434"/>
      <c r="AG51" s="434"/>
      <c r="AH51" s="434"/>
      <c r="AI51" s="434"/>
      <c r="AJ51" s="434"/>
      <c r="AK51" s="434"/>
      <c r="AL51" s="434"/>
      <c r="AM51" s="434"/>
    </row>
    <row r="52" spans="1:39" s="436" customFormat="1" ht="14.95" customHeight="1" x14ac:dyDescent="0.2">
      <c r="A52" s="887" t="s">
        <v>282</v>
      </c>
      <c r="B52" s="1415">
        <v>34</v>
      </c>
      <c r="C52" s="103"/>
      <c r="D52" s="132"/>
      <c r="E52" s="438"/>
      <c r="F52" s="438"/>
      <c r="G52" s="399">
        <f>IF($B52=0,0,VLOOKUP($B52,Arbeitsgänge!$B$26:$M$78,6))</f>
        <v>0</v>
      </c>
      <c r="H52" s="424">
        <f>IF($B52=0,0,VLOOKUP($B52,Arbeitsgänge!$B$26:$O$78,11))</f>
        <v>0</v>
      </c>
      <c r="I52" s="400">
        <f>IF($B52=0,0,VLOOKUP($B52,Arbeitsgänge!$B$26:$T$79,12))</f>
        <v>0</v>
      </c>
      <c r="J52" s="493">
        <f t="shared" si="5"/>
        <v>0</v>
      </c>
      <c r="K52" s="1266"/>
      <c r="L52" s="1256"/>
      <c r="M52" s="259"/>
      <c r="N52" s="260"/>
      <c r="O52" s="260"/>
      <c r="P52" s="260"/>
      <c r="Q52" s="261"/>
      <c r="R52" s="449"/>
      <c r="S52" s="449"/>
      <c r="T52" s="406">
        <f t="shared" si="3"/>
        <v>0</v>
      </c>
      <c r="U52" s="407">
        <f t="shared" si="3"/>
        <v>0</v>
      </c>
      <c r="V52" s="407">
        <f t="shared" si="3"/>
        <v>0</v>
      </c>
      <c r="W52" s="407">
        <f t="shared" si="3"/>
        <v>0</v>
      </c>
      <c r="X52" s="408">
        <f t="shared" si="3"/>
        <v>0</v>
      </c>
      <c r="Y52" s="434"/>
      <c r="Z52" s="406">
        <f t="shared" si="4"/>
        <v>0</v>
      </c>
      <c r="AA52" s="407">
        <f t="shared" si="4"/>
        <v>0</v>
      </c>
      <c r="AB52" s="407">
        <f t="shared" si="4"/>
        <v>0</v>
      </c>
      <c r="AC52" s="407">
        <f t="shared" si="4"/>
        <v>0</v>
      </c>
      <c r="AD52" s="408">
        <f t="shared" si="4"/>
        <v>0</v>
      </c>
      <c r="AE52" s="434"/>
      <c r="AF52" s="434"/>
      <c r="AG52" s="434"/>
      <c r="AH52" s="434"/>
      <c r="AI52" s="434"/>
      <c r="AJ52" s="434"/>
      <c r="AK52" s="434"/>
      <c r="AL52" s="434"/>
      <c r="AM52" s="434"/>
    </row>
    <row r="53" spans="1:39" s="436" customFormat="1" ht="14.95" customHeight="1" x14ac:dyDescent="0.2">
      <c r="A53" s="887" t="s">
        <v>282</v>
      </c>
      <c r="B53" s="1415">
        <v>49</v>
      </c>
      <c r="C53" s="103"/>
      <c r="D53" s="132"/>
      <c r="E53" s="438"/>
      <c r="F53" s="438"/>
      <c r="G53" s="399">
        <f>IF($B53=0,0,VLOOKUP($B53,Arbeitsgänge!$B$26:$M$78,6))</f>
        <v>0</v>
      </c>
      <c r="H53" s="424">
        <f>IF($B53=0,0,VLOOKUP($B53,Arbeitsgänge!$B$26:$O$78,11))</f>
        <v>0</v>
      </c>
      <c r="I53" s="400">
        <f>IF($B53=0,0,VLOOKUP($B53,Arbeitsgänge!$B$26:$T$79,12))</f>
        <v>0</v>
      </c>
      <c r="J53" s="493">
        <f t="shared" si="5"/>
        <v>0</v>
      </c>
      <c r="K53" s="1266">
        <f t="shared" si="1"/>
        <v>0</v>
      </c>
      <c r="L53" s="1256">
        <f t="shared" si="2"/>
        <v>0</v>
      </c>
      <c r="M53" s="259"/>
      <c r="N53" s="260"/>
      <c r="O53" s="260"/>
      <c r="P53" s="260"/>
      <c r="Q53" s="261"/>
      <c r="R53" s="449"/>
      <c r="S53" s="449"/>
      <c r="T53" s="406">
        <f t="shared" si="3"/>
        <v>0</v>
      </c>
      <c r="U53" s="407">
        <f t="shared" si="3"/>
        <v>0</v>
      </c>
      <c r="V53" s="407">
        <f t="shared" si="3"/>
        <v>0</v>
      </c>
      <c r="W53" s="407">
        <f t="shared" si="3"/>
        <v>0</v>
      </c>
      <c r="X53" s="408">
        <f t="shared" si="3"/>
        <v>0</v>
      </c>
      <c r="Y53" s="434"/>
      <c r="Z53" s="406">
        <f t="shared" si="4"/>
        <v>0</v>
      </c>
      <c r="AA53" s="407">
        <f t="shared" si="4"/>
        <v>0</v>
      </c>
      <c r="AB53" s="407">
        <f t="shared" si="4"/>
        <v>0</v>
      </c>
      <c r="AC53" s="407">
        <f t="shared" si="4"/>
        <v>0</v>
      </c>
      <c r="AD53" s="408">
        <f t="shared" si="4"/>
        <v>0</v>
      </c>
      <c r="AE53" s="434"/>
      <c r="AF53" s="434"/>
      <c r="AG53" s="434"/>
      <c r="AH53" s="434"/>
      <c r="AI53" s="434"/>
      <c r="AJ53" s="434"/>
      <c r="AK53" s="434"/>
      <c r="AL53" s="434"/>
      <c r="AM53" s="434"/>
    </row>
    <row r="54" spans="1:39" s="436" customFormat="1" ht="14.95" customHeight="1" x14ac:dyDescent="0.2">
      <c r="A54" s="887" t="s">
        <v>282</v>
      </c>
      <c r="B54" s="1415">
        <v>43</v>
      </c>
      <c r="C54" s="103"/>
      <c r="D54" s="132"/>
      <c r="E54" s="438"/>
      <c r="F54" s="438"/>
      <c r="G54" s="399">
        <f>IF($B54=0,0,VLOOKUP($B54,Arbeitsgänge!$B$26:$M$78,6))</f>
        <v>0</v>
      </c>
      <c r="H54" s="424">
        <f>IF($B54=0,0,VLOOKUP($B54,Arbeitsgänge!$B$26:$O$78,11))</f>
        <v>0</v>
      </c>
      <c r="I54" s="400">
        <f>IF($B54=0,0,VLOOKUP($B54,Arbeitsgänge!$B$26:$T$79,12))</f>
        <v>0</v>
      </c>
      <c r="J54" s="493">
        <f t="shared" si="5"/>
        <v>0</v>
      </c>
      <c r="K54" s="1266">
        <f t="shared" si="1"/>
        <v>0</v>
      </c>
      <c r="L54" s="1256">
        <f t="shared" si="2"/>
        <v>0</v>
      </c>
      <c r="M54" s="259"/>
      <c r="N54" s="260"/>
      <c r="O54" s="260"/>
      <c r="P54" s="260"/>
      <c r="Q54" s="261"/>
      <c r="R54" s="449"/>
      <c r="S54" s="449"/>
      <c r="T54" s="406">
        <f t="shared" si="3"/>
        <v>0</v>
      </c>
      <c r="U54" s="407">
        <f t="shared" si="3"/>
        <v>0</v>
      </c>
      <c r="V54" s="407">
        <f t="shared" si="3"/>
        <v>0</v>
      </c>
      <c r="W54" s="407">
        <f t="shared" si="3"/>
        <v>0</v>
      </c>
      <c r="X54" s="408">
        <f t="shared" si="3"/>
        <v>0</v>
      </c>
      <c r="Y54" s="434"/>
      <c r="Z54" s="406">
        <f t="shared" si="4"/>
        <v>0</v>
      </c>
      <c r="AA54" s="407">
        <f t="shared" si="4"/>
        <v>0</v>
      </c>
      <c r="AB54" s="407">
        <f t="shared" si="4"/>
        <v>0</v>
      </c>
      <c r="AC54" s="407">
        <f t="shared" si="4"/>
        <v>0</v>
      </c>
      <c r="AD54" s="408">
        <f t="shared" si="4"/>
        <v>0</v>
      </c>
      <c r="AE54" s="434"/>
      <c r="AF54" s="434"/>
      <c r="AG54" s="434"/>
      <c r="AH54" s="434"/>
      <c r="AI54" s="434"/>
      <c r="AJ54" s="434"/>
      <c r="AK54" s="434"/>
      <c r="AL54" s="434"/>
      <c r="AM54" s="434"/>
    </row>
    <row r="55" spans="1:39" s="436" customFormat="1" ht="14.95" customHeight="1" x14ac:dyDescent="0.2">
      <c r="A55" s="887" t="s">
        <v>282</v>
      </c>
      <c r="B55" s="1415">
        <v>49</v>
      </c>
      <c r="C55" s="103"/>
      <c r="D55" s="132"/>
      <c r="E55" s="438"/>
      <c r="F55" s="438"/>
      <c r="G55" s="399">
        <f>IF($B55=0,0,VLOOKUP($B55,Arbeitsgänge!$B$26:$M$78,6))</f>
        <v>0</v>
      </c>
      <c r="H55" s="424">
        <f>IF($B55=0,0,VLOOKUP($B55,Arbeitsgänge!$B$26:$O$78,11))</f>
        <v>0</v>
      </c>
      <c r="I55" s="400">
        <f>IF($B55=0,0,VLOOKUP($B55,Arbeitsgänge!$B$26:$T$79,12))</f>
        <v>0</v>
      </c>
      <c r="J55" s="493">
        <f t="shared" si="5"/>
        <v>0</v>
      </c>
      <c r="K55" s="1266">
        <f t="shared" si="1"/>
        <v>0</v>
      </c>
      <c r="L55" s="1256">
        <f t="shared" si="2"/>
        <v>0</v>
      </c>
      <c r="M55" s="259"/>
      <c r="N55" s="260"/>
      <c r="O55" s="260"/>
      <c r="P55" s="260"/>
      <c r="Q55" s="261"/>
      <c r="R55"/>
      <c r="S55" s="449"/>
      <c r="T55" s="406">
        <f t="shared" si="3"/>
        <v>0</v>
      </c>
      <c r="U55" s="407">
        <f t="shared" si="3"/>
        <v>0</v>
      </c>
      <c r="V55" s="407">
        <f t="shared" si="3"/>
        <v>0</v>
      </c>
      <c r="W55" s="407">
        <f t="shared" si="3"/>
        <v>0</v>
      </c>
      <c r="X55" s="408">
        <f t="shared" si="3"/>
        <v>0</v>
      </c>
      <c r="Y55" s="434"/>
      <c r="Z55" s="406">
        <f t="shared" si="4"/>
        <v>0</v>
      </c>
      <c r="AA55" s="407">
        <f t="shared" si="4"/>
        <v>0</v>
      </c>
      <c r="AB55" s="407">
        <f t="shared" si="4"/>
        <v>0</v>
      </c>
      <c r="AC55" s="407">
        <f t="shared" si="4"/>
        <v>0</v>
      </c>
      <c r="AD55" s="408">
        <f t="shared" si="4"/>
        <v>0</v>
      </c>
      <c r="AE55" s="434"/>
      <c r="AF55" s="434"/>
      <c r="AG55" s="434"/>
      <c r="AH55" s="434"/>
      <c r="AI55" s="434"/>
      <c r="AJ55" s="434"/>
      <c r="AK55" s="434"/>
      <c r="AL55" s="434"/>
      <c r="AM55" s="434"/>
    </row>
    <row r="56" spans="1:39" s="436" customFormat="1" ht="14.95" customHeight="1" x14ac:dyDescent="0.2">
      <c r="A56" s="887" t="s">
        <v>282</v>
      </c>
      <c r="B56" s="1416">
        <v>49</v>
      </c>
      <c r="C56" s="105"/>
      <c r="D56" s="754"/>
      <c r="E56" s="800"/>
      <c r="F56" s="800"/>
      <c r="G56" s="1429">
        <f>IF($B56=0,0,VLOOKUP($B56,Arbeitsgänge!$B$26:$M$78,6))</f>
        <v>0</v>
      </c>
      <c r="H56" s="1163">
        <f>IF($B56=0,0,VLOOKUP($B56,Arbeitsgänge!$B$26:$O$78,11))</f>
        <v>0</v>
      </c>
      <c r="I56" s="587">
        <f>IF($B56=0,0,VLOOKUP($B56,Arbeitsgänge!$B$26:$T$79,12))</f>
        <v>0</v>
      </c>
      <c r="J56" s="1162">
        <f t="shared" si="5"/>
        <v>0</v>
      </c>
      <c r="K56" s="1267">
        <f t="shared" si="1"/>
        <v>0</v>
      </c>
      <c r="L56" s="1268">
        <f t="shared" si="2"/>
        <v>0</v>
      </c>
      <c r="M56" s="262"/>
      <c r="N56" s="263"/>
      <c r="O56" s="263"/>
      <c r="P56" s="263"/>
      <c r="Q56" s="264"/>
      <c r="R56" s="449"/>
      <c r="S56" s="449"/>
      <c r="T56" s="409">
        <f t="shared" si="3"/>
        <v>0</v>
      </c>
      <c r="U56" s="410">
        <f t="shared" si="3"/>
        <v>0</v>
      </c>
      <c r="V56" s="410">
        <f t="shared" si="3"/>
        <v>0</v>
      </c>
      <c r="W56" s="410">
        <f t="shared" si="3"/>
        <v>0</v>
      </c>
      <c r="X56" s="411">
        <f t="shared" si="3"/>
        <v>0</v>
      </c>
      <c r="Y56" s="434"/>
      <c r="Z56" s="409">
        <f t="shared" si="4"/>
        <v>0</v>
      </c>
      <c r="AA56" s="410">
        <f t="shared" si="4"/>
        <v>0</v>
      </c>
      <c r="AB56" s="410">
        <f t="shared" si="4"/>
        <v>0</v>
      </c>
      <c r="AC56" s="410">
        <f t="shared" si="4"/>
        <v>0</v>
      </c>
      <c r="AD56" s="411">
        <f t="shared" si="4"/>
        <v>0</v>
      </c>
      <c r="AE56" s="434"/>
      <c r="AF56" s="434"/>
      <c r="AG56" s="434"/>
      <c r="AH56" s="434"/>
      <c r="AI56" s="434"/>
      <c r="AJ56" s="434"/>
      <c r="AK56" s="434"/>
      <c r="AL56" s="434"/>
      <c r="AM56" s="434"/>
    </row>
    <row r="57" spans="1:39" s="445" customFormat="1" ht="16.5" customHeight="1" x14ac:dyDescent="0.2">
      <c r="A57" s="942"/>
      <c r="B57" s="943"/>
      <c r="C57" s="1164"/>
      <c r="D57" s="117" t="s">
        <v>169</v>
      </c>
      <c r="E57" s="136"/>
      <c r="F57" s="136"/>
      <c r="G57" s="136"/>
      <c r="H57" s="438"/>
      <c r="I57" s="438"/>
      <c r="J57" s="302" t="s">
        <v>161</v>
      </c>
      <c r="K57" s="1269">
        <f>SUM(M57:Q57)</f>
        <v>17.54</v>
      </c>
      <c r="L57" s="1270"/>
      <c r="M57" s="944">
        <f>SUM(T46:T56)</f>
        <v>4.3849999999999998</v>
      </c>
      <c r="N57" s="945">
        <f>SUM(U46:U56)</f>
        <v>4.3849999999999998</v>
      </c>
      <c r="O57" s="945">
        <f>SUM(V46:V56)</f>
        <v>4.3849999999999998</v>
      </c>
      <c r="P57" s="945">
        <f>SUM(W46:W56)</f>
        <v>4.3849999999999998</v>
      </c>
      <c r="Q57" s="946">
        <f>SUM(X46:X56)</f>
        <v>0</v>
      </c>
      <c r="R57" s="449"/>
      <c r="S57" s="434"/>
      <c r="Y57" s="434"/>
      <c r="AE57" s="434"/>
      <c r="AF57" s="434"/>
      <c r="AG57" s="434"/>
    </row>
    <row r="58" spans="1:39" s="445" customFormat="1" ht="14.95" customHeight="1" x14ac:dyDescent="0.2">
      <c r="A58" s="947"/>
      <c r="B58" s="948"/>
      <c r="C58" s="137"/>
      <c r="D58" s="138"/>
      <c r="E58" s="800"/>
      <c r="F58" s="949" t="s">
        <v>170</v>
      </c>
      <c r="G58" s="140">
        <v>10</v>
      </c>
      <c r="H58" s="800" t="s">
        <v>487</v>
      </c>
      <c r="I58" s="800"/>
      <c r="J58" s="950"/>
      <c r="K58" s="1271">
        <f>SUM(M58:Q58)</f>
        <v>19.294</v>
      </c>
      <c r="L58" s="1272"/>
      <c r="M58" s="951">
        <f>M57+M57*$G$58/100</f>
        <v>4.8235000000000001</v>
      </c>
      <c r="N58" s="952">
        <f>N57+N57*$G$58/100</f>
        <v>4.8235000000000001</v>
      </c>
      <c r="O58" s="952">
        <f>O57+O57*$G$58/100</f>
        <v>4.8235000000000001</v>
      </c>
      <c r="P58" s="952">
        <f>P57+P57*$G$58/100</f>
        <v>4.8235000000000001</v>
      </c>
      <c r="Q58" s="953">
        <f>Q57+Q57*$G$58/100</f>
        <v>0</v>
      </c>
      <c r="R58" s="449"/>
      <c r="S58" s="449"/>
      <c r="Y58" s="434"/>
      <c r="AE58" s="434"/>
      <c r="AF58" s="434"/>
      <c r="AG58" s="434"/>
    </row>
    <row r="59" spans="1:39" s="436" customFormat="1" ht="16.5" customHeight="1" x14ac:dyDescent="0.2">
      <c r="A59" s="77"/>
      <c r="B59" s="954"/>
      <c r="C59" s="130"/>
      <c r="D59" s="146" t="s">
        <v>171</v>
      </c>
      <c r="E59" s="292"/>
      <c r="F59" s="292"/>
      <c r="G59" s="768" t="s">
        <v>140</v>
      </c>
      <c r="H59" s="563">
        <f>Preise!$M$10</f>
        <v>19</v>
      </c>
      <c r="I59" s="292"/>
      <c r="J59" s="309" t="s">
        <v>154</v>
      </c>
      <c r="K59" s="1273"/>
      <c r="L59" s="1274">
        <f>SUM(L61:L63)</f>
        <v>15.469999999999999</v>
      </c>
      <c r="M59" s="886">
        <f>SUM(T61:T63)</f>
        <v>3.8674999999999997</v>
      </c>
      <c r="N59" s="870">
        <f>SUM(U61:U63)</f>
        <v>3.8674999999999997</v>
      </c>
      <c r="O59" s="870">
        <f>SUM(V61:V63)</f>
        <v>3.8674999999999997</v>
      </c>
      <c r="P59" s="870">
        <f>SUM(W61:W63)</f>
        <v>3.8674999999999997</v>
      </c>
      <c r="Q59" s="871">
        <f>SUM(X61:X63)</f>
        <v>0</v>
      </c>
      <c r="R59" s="449"/>
      <c r="S59" s="449"/>
      <c r="Y59" s="434"/>
      <c r="AE59" s="434"/>
      <c r="AF59" s="434"/>
      <c r="AG59" s="434"/>
    </row>
    <row r="60" spans="1:39" s="436" customFormat="1" ht="16.5" customHeight="1" x14ac:dyDescent="0.2">
      <c r="A60" s="77"/>
      <c r="B60" s="954"/>
      <c r="C60" s="127"/>
      <c r="D60" s="128" t="s">
        <v>172</v>
      </c>
      <c r="E60" s="129"/>
      <c r="F60" s="1924" t="s">
        <v>173</v>
      </c>
      <c r="G60" s="2067" t="s">
        <v>152</v>
      </c>
      <c r="H60" s="2064" t="s">
        <v>371</v>
      </c>
      <c r="I60" s="1927"/>
      <c r="J60" s="2065" t="s">
        <v>174</v>
      </c>
      <c r="K60" s="2068"/>
      <c r="L60" s="2069"/>
      <c r="M60" s="935" t="s">
        <v>175</v>
      </c>
      <c r="N60" s="936"/>
      <c r="O60" s="936"/>
      <c r="P60" s="936"/>
      <c r="Q60" s="937"/>
      <c r="R60" s="449"/>
      <c r="S60" s="449"/>
      <c r="Y60" s="434"/>
      <c r="AE60" s="434"/>
      <c r="AF60" s="434"/>
      <c r="AG60" s="434"/>
    </row>
    <row r="61" spans="1:39" s="436" customFormat="1" ht="14.95" customHeight="1" x14ac:dyDescent="0.2">
      <c r="A61" s="77"/>
      <c r="B61" s="954"/>
      <c r="C61" s="1928"/>
      <c r="D61" s="2247" t="s">
        <v>27</v>
      </c>
      <c r="E61" s="2076"/>
      <c r="F61" s="2076"/>
      <c r="G61" s="2063">
        <v>65</v>
      </c>
      <c r="H61" s="2066">
        <f>G61*(100+$H$59)/100</f>
        <v>77.349999999999994</v>
      </c>
      <c r="I61" s="1929"/>
      <c r="J61" s="1930">
        <f>SUM(M61:Q61)</f>
        <v>0.2</v>
      </c>
      <c r="K61" s="2077"/>
      <c r="L61" s="1931">
        <f>J61*H61</f>
        <v>15.469999999999999</v>
      </c>
      <c r="M61" s="2082">
        <v>0.05</v>
      </c>
      <c r="N61" s="2082">
        <v>0.05</v>
      </c>
      <c r="O61" s="2082">
        <v>0.05</v>
      </c>
      <c r="P61" s="2082">
        <v>0.05</v>
      </c>
      <c r="Q61" s="1932"/>
      <c r="R61" s="449"/>
      <c r="S61" s="449"/>
      <c r="T61" s="494">
        <f>IF(M61&lt;&gt;0,M61*$H61,0)</f>
        <v>3.8674999999999997</v>
      </c>
      <c r="U61" s="494">
        <f t="shared" ref="U61:X63" si="6">IF(N61&lt;&gt;0,N61*$H61,0)</f>
        <v>3.8674999999999997</v>
      </c>
      <c r="V61" s="494">
        <f t="shared" si="6"/>
        <v>3.8674999999999997</v>
      </c>
      <c r="W61" s="494">
        <f t="shared" si="6"/>
        <v>3.8674999999999997</v>
      </c>
      <c r="X61" s="494">
        <f t="shared" si="6"/>
        <v>0</v>
      </c>
      <c r="Y61" s="434"/>
      <c r="Z61" s="227"/>
      <c r="AA61" s="227"/>
      <c r="AB61" s="227"/>
      <c r="AC61" s="227"/>
      <c r="AD61" s="228"/>
      <c r="AE61" s="434"/>
      <c r="AF61" s="434"/>
      <c r="AG61" s="434"/>
      <c r="AI61" s="227"/>
      <c r="AJ61" s="227"/>
      <c r="AK61" s="227"/>
      <c r="AL61" s="228"/>
    </row>
    <row r="62" spans="1:39" s="436" customFormat="1" ht="14.95" customHeight="1" x14ac:dyDescent="0.2">
      <c r="A62" s="78"/>
      <c r="B62" s="954"/>
      <c r="C62" s="296"/>
      <c r="D62" s="2803"/>
      <c r="E62" s="2078"/>
      <c r="F62" s="2078"/>
      <c r="G62" s="2243"/>
      <c r="H62" s="755">
        <f>G62*(100+$H$59)/100</f>
        <v>0</v>
      </c>
      <c r="I62" s="756"/>
      <c r="J62" s="2070">
        <f>SUM(M62:Q62)</f>
        <v>0</v>
      </c>
      <c r="K62" s="1718"/>
      <c r="L62" s="1284">
        <f>J62*H62</f>
        <v>0</v>
      </c>
      <c r="M62" s="2244"/>
      <c r="N62" s="2245"/>
      <c r="O62" s="2245"/>
      <c r="P62" s="2245"/>
      <c r="Q62" s="2246">
        <f t="shared" ref="Q62" si="7">Q15/2.7</f>
        <v>0</v>
      </c>
      <c r="R62" s="449"/>
      <c r="S62" s="449"/>
      <c r="T62" s="494">
        <f>IF(M62&lt;&gt;0,M62*$H62,0)</f>
        <v>0</v>
      </c>
      <c r="U62" s="494">
        <f t="shared" si="6"/>
        <v>0</v>
      </c>
      <c r="V62" s="494">
        <f t="shared" si="6"/>
        <v>0</v>
      </c>
      <c r="W62" s="494">
        <f t="shared" si="6"/>
        <v>0</v>
      </c>
      <c r="X62" s="494">
        <f t="shared" si="6"/>
        <v>0</v>
      </c>
      <c r="Y62" s="434"/>
      <c r="Z62" s="2061"/>
      <c r="AA62" s="2061"/>
      <c r="AB62" s="2061"/>
      <c r="AC62" s="2061"/>
      <c r="AD62" s="2062"/>
      <c r="AE62" s="434"/>
      <c r="AF62" s="434"/>
      <c r="AG62" s="434"/>
      <c r="AI62" s="2061"/>
      <c r="AJ62" s="2061"/>
      <c r="AK62" s="2061"/>
      <c r="AL62" s="2062"/>
    </row>
    <row r="63" spans="1:39" s="436" customFormat="1" ht="14.95" customHeight="1" x14ac:dyDescent="0.2">
      <c r="A63" s="81"/>
      <c r="B63" s="762"/>
      <c r="C63" s="2071"/>
      <c r="D63" s="2085" t="s">
        <v>552</v>
      </c>
      <c r="E63" s="2073"/>
      <c r="F63" s="2073"/>
      <c r="G63" s="2098">
        <f>Lohnma.!$J$64</f>
        <v>3.5</v>
      </c>
      <c r="H63" s="2079">
        <f>G63*(100+$H$59)/100</f>
        <v>4.165</v>
      </c>
      <c r="I63" s="758"/>
      <c r="J63" s="2074">
        <f>IF(K24=0,0,SUM(M63:Q63))</f>
        <v>0</v>
      </c>
      <c r="K63" s="2080">
        <f>IF(K24=0,0,K36/Z67)*K24</f>
        <v>0</v>
      </c>
      <c r="L63" s="2087">
        <f>K63*H63</f>
        <v>0</v>
      </c>
      <c r="M63" s="2083"/>
      <c r="N63" s="2084"/>
      <c r="O63" s="2084"/>
      <c r="P63" s="2084"/>
      <c r="Q63" s="2072"/>
      <c r="R63" s="449"/>
      <c r="S63" s="449"/>
      <c r="T63" s="494">
        <f>IF(M63&lt;&gt;0,M63*$H63,0)</f>
        <v>0</v>
      </c>
      <c r="U63" s="494">
        <f t="shared" si="6"/>
        <v>0</v>
      </c>
      <c r="V63" s="494">
        <f t="shared" si="6"/>
        <v>0</v>
      </c>
      <c r="W63" s="494">
        <f t="shared" si="6"/>
        <v>0</v>
      </c>
      <c r="X63" s="494">
        <f t="shared" si="6"/>
        <v>0</v>
      </c>
      <c r="Y63" s="434"/>
      <c r="Z63" s="229"/>
      <c r="AA63" s="229"/>
      <c r="AB63" s="229"/>
      <c r="AC63" s="229"/>
      <c r="AD63" s="230"/>
      <c r="AE63" s="434"/>
      <c r="AF63" s="434"/>
      <c r="AG63" s="434"/>
      <c r="AI63" s="229"/>
      <c r="AJ63" s="229"/>
      <c r="AK63" s="229"/>
      <c r="AL63" s="230"/>
    </row>
    <row r="64" spans="1:39" s="437" customFormat="1" ht="16.5" customHeight="1" x14ac:dyDescent="0.2">
      <c r="A64" s="901"/>
      <c r="B64" s="902"/>
      <c r="C64" s="295"/>
      <c r="D64" s="2081" t="s">
        <v>214</v>
      </c>
      <c r="E64" s="146"/>
      <c r="F64" s="146"/>
      <c r="G64" s="146"/>
      <c r="H64" s="861"/>
      <c r="I64" s="861"/>
      <c r="J64" s="309" t="s">
        <v>154</v>
      </c>
      <c r="K64" s="1277"/>
      <c r="L64" s="1249">
        <f>K66*$G66</f>
        <v>0</v>
      </c>
      <c r="M64" s="870">
        <f>IF(M66&lt;&gt;0,M66*$G66,0)</f>
        <v>0</v>
      </c>
      <c r="N64" s="870">
        <f>IF(N66&lt;&gt;0,N66*$G66,0)</f>
        <v>0</v>
      </c>
      <c r="O64" s="870">
        <f>IF(O66&lt;&gt;0,O66*$G66,0)</f>
        <v>0</v>
      </c>
      <c r="P64" s="870">
        <f>IF(P66&lt;&gt;0,P66*$G66,0)</f>
        <v>0</v>
      </c>
      <c r="Q64" s="871">
        <f>IF(Q66&lt;&gt;0,Q66*$G66,0)</f>
        <v>0</v>
      </c>
      <c r="R64" s="449"/>
      <c r="S64" s="449"/>
      <c r="Y64" s="434"/>
      <c r="AE64" s="434"/>
      <c r="AF64" s="434"/>
      <c r="AG64" s="434"/>
    </row>
    <row r="65" spans="1:38" s="437" customFormat="1" ht="16.5" customHeight="1" x14ac:dyDescent="0.2">
      <c r="A65" s="901"/>
      <c r="B65" s="902"/>
      <c r="C65" s="116"/>
      <c r="D65" s="117"/>
      <c r="E65" s="117"/>
      <c r="F65" s="117"/>
      <c r="G65" s="434"/>
      <c r="H65" s="438"/>
      <c r="I65" s="438"/>
      <c r="J65" s="25"/>
      <c r="K65" s="1278"/>
      <c r="L65" s="1279"/>
      <c r="M65" s="955" t="s">
        <v>221</v>
      </c>
      <c r="N65" s="956"/>
      <c r="O65" s="956"/>
      <c r="P65" s="956"/>
      <c r="Q65" s="957"/>
      <c r="R65" s="449"/>
      <c r="S65" s="449"/>
      <c r="W65" s="437" t="s">
        <v>276</v>
      </c>
      <c r="Y65" s="434"/>
      <c r="Z65" s="437" t="s">
        <v>542</v>
      </c>
      <c r="AE65" s="434"/>
      <c r="AF65" s="434"/>
      <c r="AG65" s="434"/>
    </row>
    <row r="66" spans="1:38" s="437" customFormat="1" ht="14.95" customHeight="1" x14ac:dyDescent="0.2">
      <c r="A66" s="959"/>
      <c r="B66" s="960"/>
      <c r="C66" s="162"/>
      <c r="D66" s="2790"/>
      <c r="E66" s="138"/>
      <c r="F66" s="961" t="s">
        <v>222</v>
      </c>
      <c r="G66" s="198">
        <v>15</v>
      </c>
      <c r="H66" s="961"/>
      <c r="I66" s="961"/>
      <c r="J66" s="456" t="s">
        <v>161</v>
      </c>
      <c r="K66" s="1280">
        <f>SUM(M66:Q66)</f>
        <v>0</v>
      </c>
      <c r="L66" s="1281"/>
      <c r="M66" s="495"/>
      <c r="N66" s="496"/>
      <c r="O66" s="496"/>
      <c r="P66" s="496"/>
      <c r="Q66" s="497"/>
      <c r="R66" s="449"/>
      <c r="S66" s="449"/>
      <c r="T66" s="434"/>
      <c r="U66" s="434"/>
      <c r="V66" s="434"/>
      <c r="W66" s="2054">
        <f>K10/100</f>
        <v>0.18000000000000005</v>
      </c>
      <c r="X66" s="434"/>
      <c r="Y66" s="434"/>
      <c r="Z66" s="231" t="s">
        <v>206</v>
      </c>
      <c r="AA66" s="231" t="s">
        <v>287</v>
      </c>
      <c r="AB66" s="231" t="s">
        <v>288</v>
      </c>
      <c r="AC66" s="232"/>
      <c r="AE66" s="434"/>
      <c r="AF66" s="434"/>
      <c r="AG66" s="434"/>
      <c r="AI66" s="231"/>
      <c r="AJ66" s="231"/>
      <c r="AK66" s="231"/>
      <c r="AL66" s="232"/>
    </row>
    <row r="67" spans="1:38" ht="16.5" customHeight="1" x14ac:dyDescent="0.2">
      <c r="A67"/>
      <c r="B67"/>
      <c r="C67" s="863"/>
      <c r="D67" s="1015" t="s">
        <v>224</v>
      </c>
      <c r="E67" s="1014"/>
      <c r="F67" s="1104"/>
      <c r="G67" s="949"/>
      <c r="H67" s="1103"/>
      <c r="I67" s="1159"/>
      <c r="K67" s="1282"/>
      <c r="L67" s="1244">
        <f t="shared" ref="L67:Q67" si="8">SUM(L69:L70)</f>
        <v>83</v>
      </c>
      <c r="M67" s="886">
        <f t="shared" si="8"/>
        <v>29.049999999999997</v>
      </c>
      <c r="N67" s="870">
        <f t="shared" si="8"/>
        <v>20.75</v>
      </c>
      <c r="O67" s="870">
        <f t="shared" si="8"/>
        <v>16.600000000000001</v>
      </c>
      <c r="P67" s="870">
        <f t="shared" si="8"/>
        <v>16.600000000000001</v>
      </c>
      <c r="Q67" s="871">
        <f t="shared" si="8"/>
        <v>0</v>
      </c>
      <c r="W67" s="438" t="s">
        <v>492</v>
      </c>
      <c r="Z67" s="2090">
        <v>2.38</v>
      </c>
      <c r="AA67" s="2091">
        <v>1.4</v>
      </c>
      <c r="AB67" s="2091">
        <v>5.3</v>
      </c>
      <c r="AC67" s="232"/>
    </row>
    <row r="68" spans="1:38" ht="16.5" customHeight="1" x14ac:dyDescent="0.2">
      <c r="A68"/>
      <c r="B68"/>
      <c r="C68" s="839"/>
      <c r="D68" s="1152" t="s">
        <v>225</v>
      </c>
      <c r="E68" s="1147"/>
      <c r="F68" s="1157"/>
      <c r="G68" s="1158"/>
      <c r="H68" s="1151" t="s">
        <v>0</v>
      </c>
      <c r="I68" s="2690" t="s">
        <v>428</v>
      </c>
      <c r="K68" s="1283"/>
      <c r="L68" s="1284"/>
      <c r="M68" s="955" t="s">
        <v>429</v>
      </c>
      <c r="N68" s="956"/>
      <c r="O68" s="956"/>
      <c r="P68" s="956"/>
      <c r="Q68" s="957"/>
      <c r="W68" s="2089">
        <v>0.74</v>
      </c>
      <c r="Z68" s="438" t="s">
        <v>308</v>
      </c>
    </row>
    <row r="69" spans="1:38" s="436" customFormat="1" ht="14.95" customHeight="1" x14ac:dyDescent="0.2">
      <c r="A69"/>
      <c r="B69"/>
      <c r="C69" s="2681"/>
      <c r="D69" s="2805" t="s">
        <v>1099</v>
      </c>
      <c r="E69" s="2683"/>
      <c r="F69" s="2682"/>
      <c r="G69" s="2684"/>
      <c r="H69" s="2806" t="s">
        <v>154</v>
      </c>
      <c r="I69" s="2686">
        <v>83</v>
      </c>
      <c r="K69" s="1285"/>
      <c r="L69" s="1286">
        <f>SUM(M69:Q69)</f>
        <v>83</v>
      </c>
      <c r="M69" s="2687">
        <f>M7%*$I$69</f>
        <v>29.049999999999997</v>
      </c>
      <c r="N69" s="2688">
        <f t="shared" ref="N69:Q69" si="9">N7%*$I$69</f>
        <v>20.75</v>
      </c>
      <c r="O69" s="2688">
        <f t="shared" si="9"/>
        <v>16.600000000000001</v>
      </c>
      <c r="P69" s="2688">
        <f t="shared" si="9"/>
        <v>16.600000000000001</v>
      </c>
      <c r="Q69" s="2689">
        <f t="shared" si="9"/>
        <v>0</v>
      </c>
      <c r="R69" s="449"/>
      <c r="S69" s="449"/>
      <c r="Y69" s="434"/>
      <c r="AE69" s="434"/>
      <c r="AF69" s="434"/>
      <c r="AG69" s="434"/>
    </row>
    <row r="70" spans="1:38" s="436" customFormat="1" ht="14.95" customHeight="1" x14ac:dyDescent="0.2">
      <c r="A70"/>
      <c r="B70"/>
      <c r="C70" s="2681"/>
      <c r="D70" s="2682"/>
      <c r="E70" s="2683"/>
      <c r="F70" s="2682"/>
      <c r="G70" s="2684"/>
      <c r="H70" s="2685"/>
      <c r="I70" s="2686"/>
      <c r="J70" s="1105"/>
      <c r="K70" s="1287"/>
      <c r="L70" s="1275">
        <f>SUM(M70:Q70)</f>
        <v>0</v>
      </c>
      <c r="M70" s="2687"/>
      <c r="N70" s="2688"/>
      <c r="O70" s="2688"/>
      <c r="P70" s="2688">
        <f>IF(AND($B70&lt;3,Y$5=1),P$7*$I70/100,IF(AND($B70=3,Y$5=3),P$7*$I70/100,0))</f>
        <v>0</v>
      </c>
      <c r="Q70" s="2689"/>
      <c r="R70" s="449"/>
      <c r="S70" s="449"/>
      <c r="Y70" s="434"/>
      <c r="AE70" s="434"/>
      <c r="AF70" s="434"/>
      <c r="AG70" s="434"/>
    </row>
    <row r="71" spans="1:38" s="436" customFormat="1" ht="14.95" customHeight="1" x14ac:dyDescent="0.2">
      <c r="A71"/>
      <c r="B71"/>
      <c r="C71" s="1153"/>
      <c r="D71" s="1154"/>
      <c r="E71" s="1155"/>
      <c r="F71" s="1154"/>
      <c r="G71" s="1156"/>
      <c r="H71" s="1148"/>
      <c r="I71" s="1149"/>
      <c r="J71" s="1105"/>
      <c r="K71" s="1287"/>
      <c r="L71" s="1276"/>
      <c r="M71" s="1160"/>
      <c r="N71" s="1161"/>
      <c r="O71" s="1161"/>
      <c r="P71" s="1161"/>
      <c r="Q71" s="1150"/>
      <c r="R71" s="449"/>
      <c r="S71" s="449"/>
      <c r="Y71" s="434"/>
      <c r="AE71" s="434"/>
      <c r="AF71" s="434"/>
      <c r="AG71" s="434"/>
    </row>
    <row r="72" spans="1:38" s="437" customFormat="1" ht="16.5" customHeight="1" x14ac:dyDescent="0.2">
      <c r="A72" s="959"/>
      <c r="B72" s="960"/>
      <c r="C72" s="162"/>
      <c r="D72" s="138" t="s">
        <v>295</v>
      </c>
      <c r="E72" s="138"/>
      <c r="F72" s="800"/>
      <c r="G72" s="800"/>
      <c r="H72" s="800"/>
      <c r="I72" s="800"/>
      <c r="J72" s="152"/>
      <c r="K72" s="963" t="s">
        <v>365</v>
      </c>
      <c r="L72" s="599">
        <f>Preise!M32</f>
        <v>1.5</v>
      </c>
      <c r="M72" s="920"/>
      <c r="N72" s="823"/>
      <c r="O72" s="823"/>
      <c r="P72" s="949" t="s">
        <v>430</v>
      </c>
      <c r="Q72" s="639">
        <v>5</v>
      </c>
      <c r="R72" s="449"/>
      <c r="S72" s="449"/>
      <c r="Y72" s="434"/>
      <c r="AE72" s="434"/>
      <c r="AF72" s="434"/>
      <c r="AG72" s="434"/>
    </row>
    <row r="75" spans="1:38" x14ac:dyDescent="0.2">
      <c r="D75" s="2114" t="s">
        <v>944</v>
      </c>
    </row>
    <row r="77" spans="1:38" x14ac:dyDescent="0.2">
      <c r="D77" s="2121" t="s">
        <v>377</v>
      </c>
      <c r="E77" s="2121"/>
      <c r="F77" s="2121"/>
      <c r="G77" s="2121"/>
      <c r="H77" s="2121"/>
      <c r="I77" s="2121"/>
      <c r="J77" s="2121" t="s">
        <v>557</v>
      </c>
      <c r="K77" s="2121">
        <f t="shared" ref="K77:Q77" si="10">K16</f>
        <v>0</v>
      </c>
      <c r="L77" s="2121">
        <f t="shared" si="10"/>
        <v>0</v>
      </c>
      <c r="M77" s="2121">
        <f t="shared" si="10"/>
        <v>0</v>
      </c>
      <c r="N77" s="2121">
        <f t="shared" si="10"/>
        <v>0</v>
      </c>
      <c r="O77" s="2121">
        <f t="shared" si="10"/>
        <v>0</v>
      </c>
      <c r="P77" s="2121">
        <f t="shared" si="10"/>
        <v>0</v>
      </c>
      <c r="Q77" s="2121">
        <f t="shared" si="10"/>
        <v>0</v>
      </c>
    </row>
    <row r="78" spans="1:38" x14ac:dyDescent="0.2">
      <c r="D78" s="2121" t="s">
        <v>558</v>
      </c>
      <c r="E78" s="2121"/>
      <c r="F78" s="2121"/>
      <c r="G78" s="2121"/>
      <c r="H78" s="2121"/>
      <c r="I78" s="2121"/>
      <c r="J78" s="2121" t="s">
        <v>559</v>
      </c>
      <c r="K78" s="2121"/>
      <c r="L78" s="2121"/>
      <c r="M78" s="2121">
        <f>HLOOKUP(V$5,Energ.!$F$58:$N$66,Energ.!$A$65)</f>
        <v>0</v>
      </c>
      <c r="N78" s="2121">
        <f>HLOOKUP(W$5,Energ.!$F$58:$N$66,Energ.!$A$65)</f>
        <v>0</v>
      </c>
      <c r="O78" s="2121">
        <f>HLOOKUP(X$5,Energ.!$F$58:$N$66,Energ.!$A$65)</f>
        <v>0</v>
      </c>
      <c r="P78" s="2121">
        <f>HLOOKUP(Y$5,Energ.!$F$58:$N$66,Energ.!$A$65)</f>
        <v>0</v>
      </c>
      <c r="Q78" s="2121">
        <f>HLOOKUP(Z$5,Energ.!$F$58:$N$66,Energ.!$A$65)</f>
        <v>0</v>
      </c>
    </row>
    <row r="79" spans="1:38" x14ac:dyDescent="0.2">
      <c r="D79" s="2121" t="s">
        <v>558</v>
      </c>
      <c r="E79" s="2121"/>
      <c r="F79" s="2121"/>
      <c r="G79" s="2121"/>
      <c r="H79" s="2121"/>
      <c r="I79" s="2121"/>
      <c r="J79" s="2121" t="s">
        <v>154</v>
      </c>
      <c r="K79" s="2121">
        <f>SUM(M79:P79)</f>
        <v>0</v>
      </c>
      <c r="L79" s="2121"/>
      <c r="M79" s="2121">
        <f>M78*M16</f>
        <v>0</v>
      </c>
      <c r="N79" s="2121">
        <f>N78*N16</f>
        <v>0</v>
      </c>
      <c r="O79" s="2121">
        <f>O78*O16</f>
        <v>0</v>
      </c>
      <c r="P79" s="2121">
        <f>P78*P16</f>
        <v>0</v>
      </c>
      <c r="Q79" s="2121">
        <f>Q78*Q16</f>
        <v>0</v>
      </c>
    </row>
    <row r="80" spans="1:38" x14ac:dyDescent="0.2">
      <c r="D80" s="2121"/>
      <c r="E80" s="2121"/>
      <c r="F80" s="2121"/>
      <c r="G80" s="2121"/>
      <c r="H80" s="2121"/>
      <c r="I80" s="2121"/>
      <c r="J80" s="2121"/>
      <c r="K80" s="2121"/>
      <c r="L80" s="2121"/>
      <c r="M80" s="2121"/>
      <c r="N80" s="2121"/>
      <c r="O80" s="2121"/>
      <c r="P80" s="2121"/>
      <c r="Q80" s="2121"/>
    </row>
    <row r="81" spans="4:17" x14ac:dyDescent="0.2">
      <c r="D81" s="2121"/>
      <c r="E81" s="2121"/>
      <c r="F81" s="2121"/>
      <c r="G81" s="2121"/>
      <c r="H81" s="2121"/>
      <c r="I81" s="2121"/>
      <c r="J81" s="2121"/>
      <c r="K81" s="2121"/>
      <c r="L81" s="2121"/>
      <c r="M81" s="2121"/>
      <c r="N81" s="2121"/>
      <c r="O81" s="2121"/>
      <c r="P81" s="2121"/>
      <c r="Q81" s="2121"/>
    </row>
    <row r="82" spans="4:17" x14ac:dyDescent="0.2">
      <c r="D82" s="2121"/>
      <c r="E82" s="2121"/>
      <c r="F82" s="2121"/>
      <c r="G82" s="2121"/>
      <c r="H82" s="2121"/>
      <c r="I82" s="2121"/>
      <c r="J82" s="2121"/>
      <c r="K82" s="2121"/>
      <c r="L82" s="2121"/>
      <c r="M82" s="2121"/>
      <c r="N82" s="2121"/>
      <c r="O82" s="2121"/>
      <c r="P82" s="2121"/>
      <c r="Q82" s="2121"/>
    </row>
  </sheetData>
  <sheetProtection sheet="1" objects="1" scenarios="1"/>
  <customSheetViews>
    <customSheetView guid="{32760361-675F-4FBF-A5CA-B0597C10371F}" showGridLines="0" zeroValues="0" fitToPage="1">
      <pane xSplit="12" ySplit="5" topLeftCell="M6" activePane="bottomRight" state="frozen"/>
      <selection pane="bottomRight" activeCell="G7" sqref="G7"/>
      <pageMargins left="0.31496062992125984" right="0.27559055118110237" top="0.55118110236220474" bottom="0.9055118110236221" header="0.51181102362204722" footer="0.31496062992125984"/>
      <printOptions horizontalCentered="1"/>
      <pageSetup paperSize="9" scale="69" firstPageNumber="15" orientation="portrait" useFirstPageNumber="1" verticalDpi="300" r:id="rId1"/>
      <headerFooter alignWithMargins="0">
        <oddFooter>&amp;L&amp;12LEL Schwäbisch Gmünd (Abtlg. II)
LAZBW Aulendorf&amp;C&amp;12 20&amp;9
&amp;R&amp;12&amp;F
&amp;A</oddFooter>
      </headerFooter>
    </customSheetView>
  </customSheetViews>
  <mergeCells count="4">
    <mergeCell ref="K2:Q2"/>
    <mergeCell ref="R2:V2"/>
    <mergeCell ref="H3:Q3"/>
    <mergeCell ref="K16:L16"/>
  </mergeCells>
  <hyperlinks>
    <hyperlink ref="R2:V2"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verticalDpi="300" r:id="rId2"/>
  <headerFooter alignWithMargins="0">
    <oddFooter>&amp;L&amp;12LEL Schwäbisch Gmünd (Abtlg. II)
LAZBW Aulendorf&amp;C&amp;12 20&amp;9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76001" r:id="rId5" name="Drop Down 1">
              <controlPr defaultSize="0" print="0" autoFill="0" autoLine="0" autoPict="0">
                <anchor moveWithCells="1">
                  <from>
                    <xdr:col>14</xdr:col>
                    <xdr:colOff>25879</xdr:colOff>
                    <xdr:row>4</xdr:row>
                    <xdr:rowOff>8626</xdr:rowOff>
                  </from>
                  <to>
                    <xdr:col>15</xdr:col>
                    <xdr:colOff>8626</xdr:colOff>
                    <xdr:row>5</xdr:row>
                    <xdr:rowOff>0</xdr:rowOff>
                  </to>
                </anchor>
              </controlPr>
            </control>
          </mc:Choice>
        </mc:AlternateContent>
        <mc:AlternateContent xmlns:mc="http://schemas.openxmlformats.org/markup-compatibility/2006">
          <mc:Choice Requires="x14">
            <control shapeId="2176002" r:id="rId6" name="Drop Down 2">
              <controlPr defaultSize="0" print="0" autoFill="0" autoLine="0" autoPict="0">
                <anchor moveWithCells="1">
                  <from>
                    <xdr:col>13</xdr:col>
                    <xdr:colOff>8626</xdr:colOff>
                    <xdr:row>4</xdr:row>
                    <xdr:rowOff>8626</xdr:rowOff>
                  </from>
                  <to>
                    <xdr:col>14</xdr:col>
                    <xdr:colOff>0</xdr:colOff>
                    <xdr:row>5</xdr:row>
                    <xdr:rowOff>0</xdr:rowOff>
                  </to>
                </anchor>
              </controlPr>
            </control>
          </mc:Choice>
        </mc:AlternateContent>
        <mc:AlternateContent xmlns:mc="http://schemas.openxmlformats.org/markup-compatibility/2006">
          <mc:Choice Requires="x14">
            <control shapeId="2176003" r:id="rId7" name="Drop Down 3">
              <controlPr defaultSize="0" print="0" autoFill="0" autoLine="0" autoPict="0">
                <anchor moveWithCells="1">
                  <from>
                    <xdr:col>15</xdr:col>
                    <xdr:colOff>25879</xdr:colOff>
                    <xdr:row>4</xdr:row>
                    <xdr:rowOff>8626</xdr:rowOff>
                  </from>
                  <to>
                    <xdr:col>16</xdr:col>
                    <xdr:colOff>0</xdr:colOff>
                    <xdr:row>5</xdr:row>
                    <xdr:rowOff>0</xdr:rowOff>
                  </to>
                </anchor>
              </controlPr>
            </control>
          </mc:Choice>
        </mc:AlternateContent>
        <mc:AlternateContent xmlns:mc="http://schemas.openxmlformats.org/markup-compatibility/2006">
          <mc:Choice Requires="x14">
            <control shapeId="2176004" r:id="rId8" name="Drop Down 4">
              <controlPr defaultSize="0" print="0" autoFill="0" autoLine="0" autoPict="0">
                <anchor moveWithCells="1">
                  <from>
                    <xdr:col>16</xdr:col>
                    <xdr:colOff>25879</xdr:colOff>
                    <xdr:row>4</xdr:row>
                    <xdr:rowOff>8626</xdr:rowOff>
                  </from>
                  <to>
                    <xdr:col>17</xdr:col>
                    <xdr:colOff>8626</xdr:colOff>
                    <xdr:row>5</xdr:row>
                    <xdr:rowOff>0</xdr:rowOff>
                  </to>
                </anchor>
              </controlPr>
            </control>
          </mc:Choice>
        </mc:AlternateContent>
        <mc:AlternateContent xmlns:mc="http://schemas.openxmlformats.org/markup-compatibility/2006">
          <mc:Choice Requires="x14">
            <control shapeId="2176005" r:id="rId9" name="Drop Down 5">
              <controlPr defaultSize="0" autoLine="0" autoPict="0">
                <anchor moveWithCells="1">
                  <from>
                    <xdr:col>2</xdr:col>
                    <xdr:colOff>34506</xdr:colOff>
                    <xdr:row>45</xdr:row>
                    <xdr:rowOff>8626</xdr:rowOff>
                  </from>
                  <to>
                    <xdr:col>5</xdr:col>
                    <xdr:colOff>603849</xdr:colOff>
                    <xdr:row>46</xdr:row>
                    <xdr:rowOff>25879</xdr:rowOff>
                  </to>
                </anchor>
              </controlPr>
            </control>
          </mc:Choice>
        </mc:AlternateContent>
        <mc:AlternateContent xmlns:mc="http://schemas.openxmlformats.org/markup-compatibility/2006">
          <mc:Choice Requires="x14">
            <control shapeId="2176006" r:id="rId10" name="Drop Down 6">
              <controlPr defaultSize="0" autoLine="0" autoPict="0">
                <anchor moveWithCells="1">
                  <from>
                    <xdr:col>2</xdr:col>
                    <xdr:colOff>34506</xdr:colOff>
                    <xdr:row>46</xdr:row>
                    <xdr:rowOff>25879</xdr:rowOff>
                  </from>
                  <to>
                    <xdr:col>5</xdr:col>
                    <xdr:colOff>603849</xdr:colOff>
                    <xdr:row>47</xdr:row>
                    <xdr:rowOff>25879</xdr:rowOff>
                  </to>
                </anchor>
              </controlPr>
            </control>
          </mc:Choice>
        </mc:AlternateContent>
        <mc:AlternateContent xmlns:mc="http://schemas.openxmlformats.org/markup-compatibility/2006">
          <mc:Choice Requires="x14">
            <control shapeId="2176007" r:id="rId11" name="Drop Down 7">
              <controlPr defaultSize="0" autoLine="0" autoPict="0">
                <anchor moveWithCells="1">
                  <from>
                    <xdr:col>2</xdr:col>
                    <xdr:colOff>34506</xdr:colOff>
                    <xdr:row>47</xdr:row>
                    <xdr:rowOff>8626</xdr:rowOff>
                  </from>
                  <to>
                    <xdr:col>5</xdr:col>
                    <xdr:colOff>603849</xdr:colOff>
                    <xdr:row>48</xdr:row>
                    <xdr:rowOff>25879</xdr:rowOff>
                  </to>
                </anchor>
              </controlPr>
            </control>
          </mc:Choice>
        </mc:AlternateContent>
        <mc:AlternateContent xmlns:mc="http://schemas.openxmlformats.org/markup-compatibility/2006">
          <mc:Choice Requires="x14">
            <control shapeId="2176008" r:id="rId12" name="Drop Down 8">
              <controlPr defaultSize="0" autoLine="0" autoPict="0">
                <anchor moveWithCells="1">
                  <from>
                    <xdr:col>2</xdr:col>
                    <xdr:colOff>34506</xdr:colOff>
                    <xdr:row>48</xdr:row>
                    <xdr:rowOff>25879</xdr:rowOff>
                  </from>
                  <to>
                    <xdr:col>5</xdr:col>
                    <xdr:colOff>603849</xdr:colOff>
                    <xdr:row>49</xdr:row>
                    <xdr:rowOff>25879</xdr:rowOff>
                  </to>
                </anchor>
              </controlPr>
            </control>
          </mc:Choice>
        </mc:AlternateContent>
        <mc:AlternateContent xmlns:mc="http://schemas.openxmlformats.org/markup-compatibility/2006">
          <mc:Choice Requires="x14">
            <control shapeId="2176009" r:id="rId13" name="Drop Down 9">
              <controlPr defaultSize="0" autoLine="0" autoPict="0">
                <anchor moveWithCells="1">
                  <from>
                    <xdr:col>2</xdr:col>
                    <xdr:colOff>34506</xdr:colOff>
                    <xdr:row>49</xdr:row>
                    <xdr:rowOff>25879</xdr:rowOff>
                  </from>
                  <to>
                    <xdr:col>5</xdr:col>
                    <xdr:colOff>603849</xdr:colOff>
                    <xdr:row>50</xdr:row>
                    <xdr:rowOff>34506</xdr:rowOff>
                  </to>
                </anchor>
              </controlPr>
            </control>
          </mc:Choice>
        </mc:AlternateContent>
        <mc:AlternateContent xmlns:mc="http://schemas.openxmlformats.org/markup-compatibility/2006">
          <mc:Choice Requires="x14">
            <control shapeId="2176010" r:id="rId14" name="Drop Down 10">
              <controlPr defaultSize="0" autoLine="0" autoPict="0">
                <anchor moveWithCells="1">
                  <from>
                    <xdr:col>2</xdr:col>
                    <xdr:colOff>34506</xdr:colOff>
                    <xdr:row>50</xdr:row>
                    <xdr:rowOff>34506</xdr:rowOff>
                  </from>
                  <to>
                    <xdr:col>5</xdr:col>
                    <xdr:colOff>603849</xdr:colOff>
                    <xdr:row>51</xdr:row>
                    <xdr:rowOff>60385</xdr:rowOff>
                  </to>
                </anchor>
              </controlPr>
            </control>
          </mc:Choice>
        </mc:AlternateContent>
        <mc:AlternateContent xmlns:mc="http://schemas.openxmlformats.org/markup-compatibility/2006">
          <mc:Choice Requires="x14">
            <control shapeId="2176011" r:id="rId15" name="Drop Down 11">
              <controlPr defaultSize="0" autoLine="0" autoPict="0">
                <anchor moveWithCells="1">
                  <from>
                    <xdr:col>2</xdr:col>
                    <xdr:colOff>34506</xdr:colOff>
                    <xdr:row>51</xdr:row>
                    <xdr:rowOff>34506</xdr:rowOff>
                  </from>
                  <to>
                    <xdr:col>5</xdr:col>
                    <xdr:colOff>603849</xdr:colOff>
                    <xdr:row>52</xdr:row>
                    <xdr:rowOff>60385</xdr:rowOff>
                  </to>
                </anchor>
              </controlPr>
            </control>
          </mc:Choice>
        </mc:AlternateContent>
        <mc:AlternateContent xmlns:mc="http://schemas.openxmlformats.org/markup-compatibility/2006">
          <mc:Choice Requires="x14">
            <control shapeId="2176012" r:id="rId16" name="Drop Down 12">
              <controlPr defaultSize="0" autoLine="0" autoPict="0">
                <anchor moveWithCells="1">
                  <from>
                    <xdr:col>2</xdr:col>
                    <xdr:colOff>34506</xdr:colOff>
                    <xdr:row>52</xdr:row>
                    <xdr:rowOff>25879</xdr:rowOff>
                  </from>
                  <to>
                    <xdr:col>5</xdr:col>
                    <xdr:colOff>603849</xdr:colOff>
                    <xdr:row>53</xdr:row>
                    <xdr:rowOff>34506</xdr:rowOff>
                  </to>
                </anchor>
              </controlPr>
            </control>
          </mc:Choice>
        </mc:AlternateContent>
        <mc:AlternateContent xmlns:mc="http://schemas.openxmlformats.org/markup-compatibility/2006">
          <mc:Choice Requires="x14">
            <control shapeId="2176013" r:id="rId17" name="Drop Down 13">
              <controlPr defaultSize="0" autoLine="0" autoPict="0">
                <anchor moveWithCells="1">
                  <from>
                    <xdr:col>2</xdr:col>
                    <xdr:colOff>34506</xdr:colOff>
                    <xdr:row>53</xdr:row>
                    <xdr:rowOff>25879</xdr:rowOff>
                  </from>
                  <to>
                    <xdr:col>5</xdr:col>
                    <xdr:colOff>603849</xdr:colOff>
                    <xdr:row>54</xdr:row>
                    <xdr:rowOff>34506</xdr:rowOff>
                  </to>
                </anchor>
              </controlPr>
            </control>
          </mc:Choice>
        </mc:AlternateContent>
        <mc:AlternateContent xmlns:mc="http://schemas.openxmlformats.org/markup-compatibility/2006">
          <mc:Choice Requires="x14">
            <control shapeId="2176014" r:id="rId18" name="Drop Down 14">
              <controlPr defaultSize="0" autoLine="0" autoPict="0">
                <anchor moveWithCells="1">
                  <from>
                    <xdr:col>2</xdr:col>
                    <xdr:colOff>34506</xdr:colOff>
                    <xdr:row>54</xdr:row>
                    <xdr:rowOff>25879</xdr:rowOff>
                  </from>
                  <to>
                    <xdr:col>5</xdr:col>
                    <xdr:colOff>603849</xdr:colOff>
                    <xdr:row>55</xdr:row>
                    <xdr:rowOff>34506</xdr:rowOff>
                  </to>
                </anchor>
              </controlPr>
            </control>
          </mc:Choice>
        </mc:AlternateContent>
        <mc:AlternateContent xmlns:mc="http://schemas.openxmlformats.org/markup-compatibility/2006">
          <mc:Choice Requires="x14">
            <control shapeId="2176015" r:id="rId19" name="Drop Down 15">
              <controlPr defaultSize="0" autoLine="0" autoPict="0">
                <anchor moveWithCells="1">
                  <from>
                    <xdr:col>2</xdr:col>
                    <xdr:colOff>60385</xdr:colOff>
                    <xdr:row>55</xdr:row>
                    <xdr:rowOff>8626</xdr:rowOff>
                  </from>
                  <to>
                    <xdr:col>5</xdr:col>
                    <xdr:colOff>603849</xdr:colOff>
                    <xdr:row>56</xdr:row>
                    <xdr:rowOff>25879</xdr:rowOff>
                  </to>
                </anchor>
              </controlPr>
            </control>
          </mc:Choice>
        </mc:AlternateContent>
        <mc:AlternateContent xmlns:mc="http://schemas.openxmlformats.org/markup-compatibility/2006">
          <mc:Choice Requires="x14">
            <control shapeId="2176016" r:id="rId20" name="Drop Down 16">
              <controlPr defaultSize="0" autoLine="0" autoPict="0">
                <anchor moveWithCells="1">
                  <from>
                    <xdr:col>3</xdr:col>
                    <xdr:colOff>8626</xdr:colOff>
                    <xdr:row>24</xdr:row>
                    <xdr:rowOff>189781</xdr:rowOff>
                  </from>
                  <to>
                    <xdr:col>9</xdr:col>
                    <xdr:colOff>112143</xdr:colOff>
                    <xdr:row>25</xdr:row>
                    <xdr:rowOff>155275</xdr:rowOff>
                  </to>
                </anchor>
              </controlPr>
            </control>
          </mc:Choice>
        </mc:AlternateContent>
        <mc:AlternateContent xmlns:mc="http://schemas.openxmlformats.org/markup-compatibility/2006">
          <mc:Choice Requires="x14">
            <control shapeId="2176017" r:id="rId21" name="Drop Down 17">
              <controlPr defaultSize="0" autoLine="0" autoPict="0">
                <anchor moveWithCells="1">
                  <from>
                    <xdr:col>3</xdr:col>
                    <xdr:colOff>25879</xdr:colOff>
                    <xdr:row>26</xdr:row>
                    <xdr:rowOff>181155</xdr:rowOff>
                  </from>
                  <to>
                    <xdr:col>9</xdr:col>
                    <xdr:colOff>120770</xdr:colOff>
                    <xdr:row>27</xdr:row>
                    <xdr:rowOff>172528</xdr:rowOff>
                  </to>
                </anchor>
              </controlPr>
            </control>
          </mc:Choice>
        </mc:AlternateContent>
        <mc:AlternateContent xmlns:mc="http://schemas.openxmlformats.org/markup-compatibility/2006">
          <mc:Choice Requires="x14">
            <control shapeId="2176018" r:id="rId22" name="Drop Down 18">
              <controlPr defaultSize="0" autoLine="0" autoPict="0">
                <anchor moveWithCells="1">
                  <from>
                    <xdr:col>3</xdr:col>
                    <xdr:colOff>0</xdr:colOff>
                    <xdr:row>28</xdr:row>
                    <xdr:rowOff>0</xdr:rowOff>
                  </from>
                  <to>
                    <xdr:col>9</xdr:col>
                    <xdr:colOff>103517</xdr:colOff>
                    <xdr:row>28</xdr:row>
                    <xdr:rowOff>172528</xdr:rowOff>
                  </to>
                </anchor>
              </controlPr>
            </control>
          </mc:Choice>
        </mc:AlternateContent>
        <mc:AlternateContent xmlns:mc="http://schemas.openxmlformats.org/markup-compatibility/2006">
          <mc:Choice Requires="x14">
            <control shapeId="2176019" r:id="rId23" name="Drop Down 19">
              <controlPr defaultSize="0" autoLine="0" autoPict="0">
                <anchor moveWithCells="1">
                  <from>
                    <xdr:col>3</xdr:col>
                    <xdr:colOff>25879</xdr:colOff>
                    <xdr:row>25</xdr:row>
                    <xdr:rowOff>172528</xdr:rowOff>
                  </from>
                  <to>
                    <xdr:col>9</xdr:col>
                    <xdr:colOff>120770</xdr:colOff>
                    <xdr:row>26</xdr:row>
                    <xdr:rowOff>155275</xdr:rowOff>
                  </to>
                </anchor>
              </controlPr>
            </control>
          </mc:Choice>
        </mc:AlternateContent>
        <mc:AlternateContent xmlns:mc="http://schemas.openxmlformats.org/markup-compatibility/2006">
          <mc:Choice Requires="x14">
            <control shapeId="2176020" r:id="rId24" name="Drop Down 20">
              <controlPr defaultSize="0" autoLine="0" autoPict="0">
                <anchor moveWithCells="1">
                  <from>
                    <xdr:col>3</xdr:col>
                    <xdr:colOff>25879</xdr:colOff>
                    <xdr:row>29</xdr:row>
                    <xdr:rowOff>172528</xdr:rowOff>
                  </from>
                  <to>
                    <xdr:col>9</xdr:col>
                    <xdr:colOff>138023</xdr:colOff>
                    <xdr:row>31</xdr:row>
                    <xdr:rowOff>0</xdr:rowOff>
                  </to>
                </anchor>
              </controlPr>
            </control>
          </mc:Choice>
        </mc:AlternateContent>
        <mc:AlternateContent xmlns:mc="http://schemas.openxmlformats.org/markup-compatibility/2006">
          <mc:Choice Requires="x14">
            <control shapeId="2176021" r:id="rId25" name="Drop Down 21">
              <controlPr defaultSize="0" print="0" autoFill="0" autoLine="0" autoPict="0">
                <anchor moveWithCells="1">
                  <from>
                    <xdr:col>12</xdr:col>
                    <xdr:colOff>25879</xdr:colOff>
                    <xdr:row>4</xdr:row>
                    <xdr:rowOff>8626</xdr:rowOff>
                  </from>
                  <to>
                    <xdr:col>13</xdr:col>
                    <xdr:colOff>8626</xdr:colOff>
                    <xdr:row>5</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98"/>
  <sheetViews>
    <sheetView showGridLines="0" showZeros="0" zoomScale="80" zoomScaleNormal="80" workbookViewId="0">
      <pane xSplit="13" ySplit="5" topLeftCell="N21"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375" style="8" customWidth="1"/>
    <col min="2" max="2" width="3.625" style="8" customWidth="1"/>
    <col min="3" max="3" width="3" style="7" customWidth="1"/>
    <col min="4" max="4" width="1.875" style="7" customWidth="1"/>
    <col min="5" max="5" width="8.625" style="7" customWidth="1"/>
    <col min="6" max="6" width="10.375" style="7" customWidth="1"/>
    <col min="7" max="7" width="4.625" style="7" customWidth="1"/>
    <col min="8" max="8" width="6" style="7" customWidth="1"/>
    <col min="9" max="9" width="10.125" style="7" customWidth="1"/>
    <col min="10" max="10" width="2.625" style="7" customWidth="1"/>
    <col min="11" max="11" width="11.875" style="7" customWidth="1"/>
    <col min="12" max="12" width="11" style="299" customWidth="1"/>
    <col min="13" max="14" width="10.375" style="7" customWidth="1"/>
    <col min="15" max="15" width="10.125" style="7" customWidth="1"/>
    <col min="16" max="18" width="10.375" style="7" customWidth="1"/>
    <col min="19" max="19" width="86.375" customWidth="1"/>
    <col min="20" max="32" width="11.375" style="8"/>
    <col min="33" max="33" width="8.625" style="7" customWidth="1"/>
    <col min="34" max="34" width="12.375" style="7" customWidth="1"/>
    <col min="35" max="35" width="12.625" style="7" customWidth="1"/>
    <col min="36" max="36" width="12.875" style="7" customWidth="1"/>
    <col min="37" max="37" width="3.625" style="7" customWidth="1"/>
    <col min="38" max="38" width="12.625" style="41" customWidth="1"/>
    <col min="39" max="42" width="12.625" style="7" customWidth="1"/>
    <col min="43" max="43" width="2.125" style="8" customWidth="1"/>
    <col min="44" max="44" width="0.625" style="7" customWidth="1"/>
    <col min="45" max="16384" width="11.375" style="8"/>
  </cols>
  <sheetData>
    <row r="1" spans="1:45" ht="14.95" customHeight="1" thickBot="1" x14ac:dyDescent="0.25">
      <c r="E1" s="3169" t="s">
        <v>176</v>
      </c>
      <c r="F1" s="3169"/>
      <c r="G1" s="3169"/>
      <c r="H1" s="3169"/>
      <c r="I1" s="3169"/>
    </row>
    <row r="2" spans="1:45" s="29" customFormat="1" ht="23.45" customHeight="1" x14ac:dyDescent="0.35">
      <c r="B2" s="28"/>
      <c r="C2" s="3058" t="str">
        <f>"Kostenrechnung "&amp;Preise!$M$2</f>
        <v>Kostenrechnung 2018</v>
      </c>
      <c r="D2" s="1846"/>
      <c r="E2" s="1847"/>
      <c r="F2" s="1847"/>
      <c r="G2" s="1847"/>
      <c r="H2" s="1847"/>
      <c r="I2" s="3059" t="str">
        <f>'Grün3(a)'!J2</f>
        <v>Verfahren mit MwSt.</v>
      </c>
      <c r="J2" s="1848"/>
      <c r="K2" s="1848"/>
      <c r="L2" s="1847"/>
      <c r="M2" s="1849"/>
      <c r="N2" s="1849"/>
      <c r="O2" s="1850"/>
      <c r="P2" s="1850"/>
      <c r="Q2" s="1850"/>
      <c r="R2" s="1851" t="str">
        <f>'Portionsw.(a)'!K2</f>
        <v>Portionsweide</v>
      </c>
      <c r="S2"/>
      <c r="T2" s="30"/>
      <c r="U2" s="30"/>
      <c r="V2" s="30"/>
      <c r="Z2" s="30"/>
      <c r="AA2" s="30"/>
      <c r="AB2" s="32"/>
      <c r="AC2" s="33"/>
      <c r="AD2" s="33"/>
      <c r="AE2" s="31"/>
      <c r="AF2" s="31"/>
      <c r="AK2"/>
      <c r="AL2"/>
      <c r="AM2" s="39"/>
      <c r="AN2"/>
      <c r="AQ2" s="28"/>
      <c r="AR2" s="38"/>
      <c r="AS2" s="31"/>
    </row>
    <row r="3" spans="1:45" s="29" customFormat="1" ht="28.55" customHeight="1" thickBot="1" x14ac:dyDescent="0.25">
      <c r="B3" s="3367"/>
      <c r="C3" s="1852"/>
      <c r="D3" s="1842"/>
      <c r="E3" s="1844" t="s">
        <v>256</v>
      </c>
      <c r="F3" s="3375" t="str">
        <f>Inhalt!I9</f>
        <v xml:space="preserve"> 08/2018</v>
      </c>
      <c r="G3" s="3375"/>
      <c r="H3" s="1323"/>
      <c r="I3" s="3365" t="str">
        <f>'Portionsw.(a)'!H3</f>
        <v>intensive Weide, Übersaat alle 5 Jahre</v>
      </c>
      <c r="J3" s="3365"/>
      <c r="K3" s="3365"/>
      <c r="L3" s="3365"/>
      <c r="M3" s="3365"/>
      <c r="N3" s="3365"/>
      <c r="O3" s="3365"/>
      <c r="P3" s="3365"/>
      <c r="Q3" s="3365"/>
      <c r="R3" s="3366"/>
      <c r="S3"/>
      <c r="T3" s="30"/>
      <c r="U3" s="30"/>
      <c r="V3" s="30"/>
      <c r="Z3" s="30"/>
      <c r="AA3" s="30"/>
      <c r="AB3" s="32"/>
      <c r="AC3" s="33"/>
      <c r="AD3" s="33"/>
      <c r="AE3" s="31"/>
      <c r="AF3" s="31"/>
      <c r="AG3"/>
      <c r="AH3" s="195"/>
      <c r="AI3"/>
      <c r="AJ3"/>
      <c r="AK3"/>
      <c r="AL3"/>
      <c r="AM3" s="39"/>
      <c r="AN3"/>
      <c r="AQ3" s="28"/>
      <c r="AR3" s="196"/>
      <c r="AS3" s="31"/>
    </row>
    <row r="4" spans="1:45" s="1" customFormat="1" ht="20.399999999999999" customHeight="1" x14ac:dyDescent="0.2">
      <c r="B4" s="3367"/>
      <c r="C4" s="1204">
        <v>1</v>
      </c>
      <c r="D4" s="1189" t="s">
        <v>183</v>
      </c>
      <c r="E4" s="1326"/>
      <c r="F4" s="1189"/>
      <c r="G4" s="1189"/>
      <c r="H4" s="1189"/>
      <c r="I4" s="1189"/>
      <c r="J4" s="1189"/>
      <c r="K4" s="1189"/>
      <c r="L4" s="1210"/>
      <c r="M4" s="1190" t="s">
        <v>17</v>
      </c>
      <c r="N4" s="1190" t="s">
        <v>92</v>
      </c>
      <c r="O4" s="1190" t="s">
        <v>93</v>
      </c>
      <c r="P4" s="1190" t="s">
        <v>94</v>
      </c>
      <c r="Q4" s="1190" t="s">
        <v>95</v>
      </c>
      <c r="R4" s="1191" t="s">
        <v>96</v>
      </c>
      <c r="S4"/>
      <c r="V4" s="168"/>
      <c r="AG4"/>
      <c r="AH4"/>
      <c r="AI4"/>
      <c r="AJ4"/>
      <c r="AK4"/>
      <c r="AL4"/>
      <c r="AM4"/>
      <c r="AN4"/>
      <c r="AO4"/>
      <c r="AP4"/>
      <c r="AQ4"/>
      <c r="AR4"/>
    </row>
    <row r="5" spans="1:45" s="1" customFormat="1" ht="26" customHeight="1" x14ac:dyDescent="0.2">
      <c r="A5" s="168"/>
      <c r="B5" s="3368"/>
      <c r="C5" s="1345">
        <v>2</v>
      </c>
      <c r="D5" s="1188" t="s">
        <v>118</v>
      </c>
      <c r="E5" s="1324"/>
      <c r="F5" s="1188"/>
      <c r="G5" s="1188"/>
      <c r="H5" s="1188"/>
      <c r="I5" s="1188"/>
      <c r="J5" s="1188"/>
      <c r="K5" s="1188"/>
      <c r="L5" s="1211"/>
      <c r="M5" s="1187"/>
      <c r="N5" s="2679" t="str">
        <f>'Portionsw.(a)'!M5</f>
        <v>Portionsweide</v>
      </c>
      <c r="O5" s="2679" t="str">
        <f>'Portionsw.(a)'!N5</f>
        <v>Portionsweide</v>
      </c>
      <c r="P5" s="2679" t="str">
        <f>'Portionsw.(a)'!O5</f>
        <v>Portionsweide</v>
      </c>
      <c r="Q5" s="2679" t="str">
        <f>'Portionsw.(a)'!P5</f>
        <v>Portionsweide</v>
      </c>
      <c r="R5" s="2680">
        <f>'Portionsw.(a)'!Q5</f>
        <v>0</v>
      </c>
      <c r="S5"/>
      <c r="V5" s="168"/>
      <c r="AG5"/>
      <c r="AH5"/>
      <c r="AI5"/>
      <c r="AJ5"/>
      <c r="AK5"/>
      <c r="AL5"/>
      <c r="AM5"/>
      <c r="AN5"/>
      <c r="AO5"/>
      <c r="AP5"/>
      <c r="AQ5" s="8"/>
      <c r="AR5" s="4"/>
    </row>
    <row r="6" spans="1:45" s="168" customFormat="1" ht="20.399999999999999" customHeight="1" x14ac:dyDescent="0.2">
      <c r="B6" s="3355" t="s">
        <v>462</v>
      </c>
      <c r="C6" s="1308">
        <v>3</v>
      </c>
      <c r="D6" s="1309" t="s">
        <v>431</v>
      </c>
      <c r="F6" s="1310"/>
      <c r="G6" s="1310"/>
      <c r="H6" s="1310"/>
      <c r="I6" s="1311"/>
      <c r="J6" s="1311"/>
      <c r="K6" s="1311"/>
      <c r="L6" s="1179" t="s">
        <v>72</v>
      </c>
      <c r="M6" s="1360">
        <f>'Portionsw.(a)'!K6</f>
        <v>90</v>
      </c>
      <c r="N6" s="1361">
        <f>'Portionsw.(a)'!M6</f>
        <v>31.5</v>
      </c>
      <c r="O6" s="1361">
        <f>'Portionsw.(a)'!N6</f>
        <v>22.5</v>
      </c>
      <c r="P6" s="1361">
        <f>'Portionsw.(a)'!O6</f>
        <v>18</v>
      </c>
      <c r="Q6" s="1361">
        <f>'Portionsw.(a)'!P6</f>
        <v>18</v>
      </c>
      <c r="R6" s="1362">
        <f>'Portionsw.(a)'!Q6</f>
        <v>0</v>
      </c>
      <c r="S6" s="163"/>
      <c r="AG6" s="163"/>
      <c r="AH6" s="163"/>
      <c r="AI6" s="163"/>
      <c r="AJ6" s="163"/>
      <c r="AK6" s="163"/>
      <c r="AL6" s="163"/>
      <c r="AM6" s="163"/>
      <c r="AN6" s="163"/>
      <c r="AO6" s="163"/>
      <c r="AP6" s="163"/>
      <c r="AQ6" s="7"/>
      <c r="AR6" s="5">
        <v>2</v>
      </c>
    </row>
    <row r="7" spans="1:45" s="1" customFormat="1" ht="20.399999999999999" customHeight="1" x14ac:dyDescent="0.2">
      <c r="B7" s="3356"/>
      <c r="C7" s="1308">
        <v>4</v>
      </c>
      <c r="D7" s="332" t="s">
        <v>108</v>
      </c>
      <c r="E7" s="168"/>
      <c r="F7" s="26"/>
      <c r="G7" s="26"/>
      <c r="H7" s="26"/>
      <c r="I7" s="2800"/>
      <c r="J7" s="2800"/>
      <c r="K7" s="2800"/>
      <c r="L7" s="425" t="s">
        <v>72</v>
      </c>
      <c r="M7" s="1291">
        <f>'Portionsw.(a)'!K14</f>
        <v>76.5</v>
      </c>
      <c r="N7" s="391">
        <f>'Portionsw.(a)'!M14</f>
        <v>26.774999999999999</v>
      </c>
      <c r="O7" s="391">
        <f>'Portionsw.(a)'!N14</f>
        <v>19.125</v>
      </c>
      <c r="P7" s="391">
        <f>'Portionsw.(a)'!O14</f>
        <v>15.3</v>
      </c>
      <c r="Q7" s="391">
        <f>'Portionsw.(a)'!P14</f>
        <v>15.3</v>
      </c>
      <c r="R7" s="1299">
        <f>'Portionsw.(a)'!Q14</f>
        <v>0</v>
      </c>
      <c r="S7"/>
      <c r="V7" s="168"/>
      <c r="AG7"/>
      <c r="AH7"/>
      <c r="AI7"/>
      <c r="AJ7"/>
      <c r="AK7"/>
      <c r="AL7"/>
      <c r="AM7"/>
      <c r="AN7"/>
      <c r="AO7"/>
      <c r="AP7"/>
      <c r="AQ7" s="8"/>
      <c r="AR7" s="5"/>
    </row>
    <row r="8" spans="1:45" s="1" customFormat="1" ht="20.399999999999999" customHeight="1" x14ac:dyDescent="0.2">
      <c r="B8" s="3356"/>
      <c r="C8" s="1308">
        <v>5</v>
      </c>
      <c r="D8" s="1322"/>
      <c r="E8" s="381"/>
      <c r="F8" s="14"/>
      <c r="G8" s="14"/>
      <c r="H8" s="14"/>
      <c r="I8" s="2377"/>
      <c r="J8" s="2377"/>
      <c r="K8" s="2377"/>
      <c r="L8" s="139" t="s">
        <v>376</v>
      </c>
      <c r="M8" s="1292">
        <f>'Portionsw.(a)'!K15</f>
        <v>425</v>
      </c>
      <c r="N8" s="404">
        <f>'Portionsw.(a)'!M15</f>
        <v>148.74999999999997</v>
      </c>
      <c r="O8" s="404">
        <f>'Portionsw.(a)'!N15</f>
        <v>106.25</v>
      </c>
      <c r="P8" s="404">
        <f>'Portionsw.(a)'!O15</f>
        <v>85.000000000000014</v>
      </c>
      <c r="Q8" s="404">
        <f>'Portionsw.(a)'!P15</f>
        <v>85.000000000000014</v>
      </c>
      <c r="R8" s="1201">
        <f>'Portionsw.(a)'!Q15</f>
        <v>0</v>
      </c>
      <c r="S8"/>
      <c r="V8" s="168"/>
      <c r="AG8"/>
      <c r="AH8"/>
      <c r="AI8"/>
      <c r="AJ8"/>
      <c r="AK8"/>
      <c r="AL8"/>
      <c r="AM8"/>
      <c r="AN8"/>
      <c r="AO8"/>
      <c r="AP8"/>
      <c r="AQ8" s="8"/>
      <c r="AR8" s="5"/>
    </row>
    <row r="9" spans="1:45" s="1" customFormat="1" ht="16.5" customHeight="1" x14ac:dyDescent="0.2">
      <c r="B9" s="3356"/>
      <c r="C9" s="1371">
        <v>6</v>
      </c>
      <c r="D9" s="332" t="s">
        <v>219</v>
      </c>
      <c r="E9" s="168"/>
      <c r="F9" s="26"/>
      <c r="G9" s="163"/>
      <c r="H9" s="163"/>
      <c r="I9" s="2800"/>
      <c r="J9" s="2800"/>
      <c r="K9" s="2800"/>
      <c r="L9" s="425" t="s">
        <v>72</v>
      </c>
      <c r="M9" s="1200">
        <f>'Portionsw.(a)'!K17</f>
        <v>76.5</v>
      </c>
      <c r="N9" s="391">
        <f>'Portionsw.(a)'!M17</f>
        <v>26.774999999999999</v>
      </c>
      <c r="O9" s="391">
        <f>'Portionsw.(a)'!N17</f>
        <v>19.125</v>
      </c>
      <c r="P9" s="391">
        <f>'Portionsw.(a)'!O17</f>
        <v>15.3</v>
      </c>
      <c r="Q9" s="391">
        <f>'Portionsw.(a)'!P17</f>
        <v>15.3</v>
      </c>
      <c r="R9" s="1299">
        <f>'Portionsw.(a)'!Q17</f>
        <v>0</v>
      </c>
      <c r="S9"/>
      <c r="V9" s="168"/>
      <c r="AG9"/>
      <c r="AH9"/>
      <c r="AI9"/>
      <c r="AJ9"/>
      <c r="AK9"/>
      <c r="AL9"/>
      <c r="AM9"/>
      <c r="AN9"/>
      <c r="AO9"/>
      <c r="AP9"/>
      <c r="AQ9" s="8"/>
      <c r="AR9" s="5"/>
    </row>
    <row r="10" spans="1:45" s="1" customFormat="1" ht="16.5" customHeight="1" x14ac:dyDescent="0.2">
      <c r="B10" s="3356"/>
      <c r="C10" s="1308">
        <v>7</v>
      </c>
      <c r="D10" s="332"/>
      <c r="E10" s="168"/>
      <c r="F10" s="26"/>
      <c r="G10" s="163"/>
      <c r="H10" s="163"/>
      <c r="I10" s="2800"/>
      <c r="J10" s="2800"/>
      <c r="K10" s="2800"/>
      <c r="L10" s="425" t="s">
        <v>376</v>
      </c>
      <c r="M10" s="1181">
        <f>'Portionsw.(a)'!K18</f>
        <v>425</v>
      </c>
      <c r="N10" s="1303">
        <f>'Portionsw.(a)'!M18</f>
        <v>148.74999999999997</v>
      </c>
      <c r="O10" s="1303">
        <f>'Portionsw.(a)'!N18</f>
        <v>106.25</v>
      </c>
      <c r="P10" s="1303">
        <f>'Portionsw.(a)'!O18</f>
        <v>85.000000000000014</v>
      </c>
      <c r="Q10" s="1303">
        <f>'Portionsw.(a)'!P18</f>
        <v>85.000000000000014</v>
      </c>
      <c r="R10" s="1300">
        <f>'Portionsw.(a)'!Q18</f>
        <v>0</v>
      </c>
      <c r="S10"/>
      <c r="V10" s="168"/>
      <c r="AG10"/>
      <c r="AH10"/>
      <c r="AI10"/>
      <c r="AJ10"/>
      <c r="AK10"/>
      <c r="AL10"/>
      <c r="AM10"/>
      <c r="AN10"/>
      <c r="AO10"/>
      <c r="AP10"/>
      <c r="AQ10" s="8"/>
      <c r="AR10" s="5"/>
    </row>
    <row r="11" spans="1:45" s="1" customFormat="1" ht="16.5" customHeight="1" thickBot="1" x14ac:dyDescent="0.25">
      <c r="B11" s="3356"/>
      <c r="C11" s="1346">
        <v>8</v>
      </c>
      <c r="D11" s="1545"/>
      <c r="E11" s="1546"/>
      <c r="F11" s="1547"/>
      <c r="G11" s="1323"/>
      <c r="H11" s="1323"/>
      <c r="I11" s="1548"/>
      <c r="J11" s="1548"/>
      <c r="K11" s="1548"/>
      <c r="L11" s="1520"/>
      <c r="M11" s="1549">
        <f>'Portionsw.(a)'!K19</f>
        <v>0</v>
      </c>
      <c r="N11" s="1551">
        <f>'Portionsw.(a)'!L19</f>
        <v>0</v>
      </c>
      <c r="O11" s="1551">
        <f>'Portionsw.(a)'!M19</f>
        <v>0</v>
      </c>
      <c r="P11" s="1551">
        <f>'Portionsw.(a)'!N19</f>
        <v>0</v>
      </c>
      <c r="Q11" s="1551">
        <f>'Portionsw.(a)'!O19</f>
        <v>0</v>
      </c>
      <c r="R11" s="1552">
        <f>'Portionsw.(a)'!P19</f>
        <v>0</v>
      </c>
      <c r="S11"/>
      <c r="V11" s="168"/>
      <c r="AG11"/>
      <c r="AH11"/>
      <c r="AI11"/>
      <c r="AJ11"/>
      <c r="AK11"/>
      <c r="AL11"/>
      <c r="AM11"/>
      <c r="AN11"/>
      <c r="AO11"/>
      <c r="AP11"/>
      <c r="AQ11" s="8"/>
      <c r="AR11" s="5"/>
    </row>
    <row r="12" spans="1:45" s="1" customFormat="1" ht="16.5" customHeight="1" x14ac:dyDescent="0.2">
      <c r="B12" s="3356"/>
      <c r="C12" s="1308">
        <v>9</v>
      </c>
      <c r="D12" s="26" t="s">
        <v>433</v>
      </c>
      <c r="E12" s="168"/>
      <c r="F12" s="3"/>
      <c r="G12" s="163"/>
      <c r="H12" s="163"/>
      <c r="I12" s="2800"/>
      <c r="J12" s="2800"/>
      <c r="K12" s="2800"/>
      <c r="L12" s="425" t="s">
        <v>136</v>
      </c>
      <c r="M12" s="1181">
        <f>'Portionsw.(a)'!K22</f>
        <v>4704.75</v>
      </c>
      <c r="N12" s="967">
        <f>'Portionsw.(a)'!M22</f>
        <v>1740.375</v>
      </c>
      <c r="O12" s="967">
        <f>'Portionsw.(a)'!N22</f>
        <v>1204.875</v>
      </c>
      <c r="P12" s="967">
        <f>'Portionsw.(a)'!O22</f>
        <v>902.7</v>
      </c>
      <c r="Q12" s="967">
        <f>'Portionsw.(a)'!P22</f>
        <v>856.8</v>
      </c>
      <c r="R12" s="1302">
        <f>'Portionsw.(a)'!Q22</f>
        <v>0</v>
      </c>
      <c r="S12"/>
      <c r="V12" s="168"/>
      <c r="AG12"/>
      <c r="AH12"/>
      <c r="AI12"/>
      <c r="AJ12"/>
      <c r="AK12"/>
      <c r="AL12"/>
      <c r="AM12"/>
      <c r="AN12"/>
      <c r="AO12"/>
      <c r="AP12"/>
      <c r="AQ12" s="8"/>
      <c r="AR12" s="5"/>
    </row>
    <row r="13" spans="1:45" s="1" customFormat="1" ht="16.5" customHeight="1" thickBot="1" x14ac:dyDescent="0.25">
      <c r="B13" s="3357"/>
      <c r="C13" s="1346">
        <v>10</v>
      </c>
      <c r="D13" s="1351"/>
      <c r="E13" s="1555"/>
      <c r="F13" s="1045"/>
      <c r="G13" s="1323"/>
      <c r="H13" s="1323"/>
      <c r="I13" s="1519"/>
      <c r="J13" s="1519"/>
      <c r="K13" s="1519"/>
      <c r="L13" s="1520" t="s">
        <v>137</v>
      </c>
      <c r="M13" s="1522">
        <f>'Portionsw.(a)'!K23</f>
        <v>7841.25</v>
      </c>
      <c r="N13" s="1521">
        <f>'Portionsw.(a)'!M23</f>
        <v>2900.625</v>
      </c>
      <c r="O13" s="1521">
        <f>'Portionsw.(a)'!N23</f>
        <v>2008.125</v>
      </c>
      <c r="P13" s="1521">
        <f>'Portionsw.(a)'!O23</f>
        <v>1504.5000000000002</v>
      </c>
      <c r="Q13" s="1521">
        <f>'Portionsw.(a)'!P23</f>
        <v>1428</v>
      </c>
      <c r="R13" s="1523">
        <f>'Portionsw.(a)'!Q23</f>
        <v>0</v>
      </c>
      <c r="S13"/>
      <c r="V13" s="168"/>
      <c r="AG13"/>
      <c r="AH13"/>
      <c r="AI13"/>
      <c r="AJ13"/>
      <c r="AK13"/>
      <c r="AL13"/>
      <c r="AM13"/>
      <c r="AN13"/>
      <c r="AO13"/>
      <c r="AP13"/>
      <c r="AQ13" s="8"/>
      <c r="AR13" s="5"/>
    </row>
    <row r="14" spans="1:45" s="1" customFormat="1" ht="16.5" customHeight="1" thickBot="1" x14ac:dyDescent="0.25">
      <c r="B14" s="1327"/>
      <c r="C14" s="1289"/>
      <c r="D14" s="1289"/>
      <c r="E14" s="54"/>
      <c r="F14" s="3"/>
      <c r="G14" s="163"/>
      <c r="H14" s="163"/>
      <c r="I14" s="24"/>
      <c r="J14" s="24"/>
      <c r="K14" s="24"/>
      <c r="L14" s="425"/>
      <c r="M14" s="2122"/>
      <c r="N14" s="2123"/>
      <c r="O14" s="2123"/>
      <c r="P14" s="2123"/>
      <c r="Q14" s="2123"/>
      <c r="R14" s="2123"/>
      <c r="S14"/>
      <c r="V14" s="168"/>
      <c r="AG14"/>
      <c r="AH14"/>
      <c r="AI14"/>
      <c r="AJ14"/>
      <c r="AK14"/>
      <c r="AL14"/>
      <c r="AM14"/>
      <c r="AN14"/>
      <c r="AO14"/>
      <c r="AP14"/>
      <c r="AQ14" s="8"/>
      <c r="AR14" s="2785"/>
    </row>
    <row r="15" spans="1:45" s="1" customFormat="1" ht="16.5" customHeight="1" x14ac:dyDescent="0.2">
      <c r="B15" s="1327"/>
      <c r="C15" s="2126">
        <v>11</v>
      </c>
      <c r="D15" s="2127" t="s">
        <v>561</v>
      </c>
      <c r="E15" s="2128"/>
      <c r="F15" s="2129"/>
      <c r="G15" s="1865"/>
      <c r="H15" s="1865"/>
      <c r="I15" s="2130"/>
      <c r="J15" s="2130"/>
      <c r="K15" s="2130"/>
      <c r="L15" s="1453" t="s">
        <v>154</v>
      </c>
      <c r="M15" s="2135">
        <f t="shared" ref="M15:R15" si="0">U31</f>
        <v>270</v>
      </c>
      <c r="N15" s="2136">
        <f t="shared" si="0"/>
        <v>94.5</v>
      </c>
      <c r="O15" s="2137">
        <f t="shared" si="0"/>
        <v>67.5</v>
      </c>
      <c r="P15" s="2136">
        <f t="shared" si="0"/>
        <v>54</v>
      </c>
      <c r="Q15" s="2137">
        <f t="shared" si="0"/>
        <v>54</v>
      </c>
      <c r="R15" s="2138">
        <f t="shared" si="0"/>
        <v>0</v>
      </c>
      <c r="S15"/>
      <c r="V15" s="168"/>
      <c r="AG15"/>
      <c r="AH15"/>
      <c r="AI15"/>
      <c r="AJ15"/>
      <c r="AK15"/>
      <c r="AL15"/>
      <c r="AM15"/>
      <c r="AN15"/>
      <c r="AO15"/>
      <c r="AP15"/>
      <c r="AQ15" s="8"/>
      <c r="AR15" s="2785"/>
    </row>
    <row r="16" spans="1:45" s="1" customFormat="1" ht="16.5" customHeight="1" x14ac:dyDescent="0.2">
      <c r="B16" s="1327"/>
      <c r="C16" s="2131">
        <f>C15+1</f>
        <v>12</v>
      </c>
      <c r="D16" s="2787" t="s">
        <v>943</v>
      </c>
      <c r="E16" s="54"/>
      <c r="F16" s="3"/>
      <c r="G16" s="163"/>
      <c r="H16" s="163"/>
      <c r="I16" s="24"/>
      <c r="J16" s="24"/>
      <c r="K16" s="24"/>
      <c r="L16" s="425"/>
      <c r="M16" s="1291">
        <f t="shared" ref="M16:R16" si="1">U30</f>
        <v>290</v>
      </c>
      <c r="N16" s="2139">
        <f t="shared" si="1"/>
        <v>101.5</v>
      </c>
      <c r="O16" s="1553">
        <f t="shared" si="1"/>
        <v>72.5</v>
      </c>
      <c r="P16" s="2139">
        <f t="shared" si="1"/>
        <v>58</v>
      </c>
      <c r="Q16" s="1553">
        <f t="shared" si="1"/>
        <v>58</v>
      </c>
      <c r="R16" s="2140">
        <f t="shared" si="1"/>
        <v>0</v>
      </c>
      <c r="S16"/>
      <c r="V16" s="168"/>
      <c r="AG16"/>
      <c r="AH16"/>
      <c r="AI16"/>
      <c r="AJ16"/>
      <c r="AK16"/>
      <c r="AL16"/>
      <c r="AM16"/>
      <c r="AN16"/>
      <c r="AO16"/>
      <c r="AP16"/>
      <c r="AQ16" s="8"/>
      <c r="AR16" s="2785"/>
    </row>
    <row r="17" spans="2:44" s="1" customFormat="1" ht="16.5" customHeight="1" thickBot="1" x14ac:dyDescent="0.25">
      <c r="B17" s="1327"/>
      <c r="C17" s="2132">
        <f>C16+1</f>
        <v>13</v>
      </c>
      <c r="D17" s="2792" t="s">
        <v>562</v>
      </c>
      <c r="E17" s="1555"/>
      <c r="F17" s="1045"/>
      <c r="G17" s="1323"/>
      <c r="H17" s="1323"/>
      <c r="I17" s="1519"/>
      <c r="J17" s="1519"/>
      <c r="K17" s="1519"/>
      <c r="L17" s="1520"/>
      <c r="M17" s="1522">
        <f t="shared" ref="M17:R17" si="2">U32</f>
        <v>560</v>
      </c>
      <c r="N17" s="2133">
        <f t="shared" si="2"/>
        <v>196</v>
      </c>
      <c r="O17" s="1521">
        <f t="shared" si="2"/>
        <v>140</v>
      </c>
      <c r="P17" s="2133">
        <f t="shared" si="2"/>
        <v>112</v>
      </c>
      <c r="Q17" s="1521">
        <f t="shared" si="2"/>
        <v>112</v>
      </c>
      <c r="R17" s="2134">
        <f t="shared" si="2"/>
        <v>0</v>
      </c>
      <c r="S17"/>
      <c r="V17" s="168"/>
      <c r="AG17"/>
      <c r="AH17"/>
      <c r="AI17"/>
      <c r="AJ17"/>
      <c r="AK17"/>
      <c r="AL17"/>
      <c r="AM17"/>
      <c r="AN17"/>
      <c r="AO17"/>
      <c r="AP17"/>
      <c r="AQ17" s="8"/>
      <c r="AR17" s="2785"/>
    </row>
    <row r="18" spans="2:44" s="7" customFormat="1" ht="21.25" customHeight="1" thickBot="1" x14ac:dyDescent="0.25">
      <c r="B18" s="1327"/>
      <c r="C18" s="1289"/>
      <c r="D18" s="26"/>
      <c r="F18" s="26"/>
      <c r="G18" s="26"/>
      <c r="H18" s="26"/>
      <c r="I18" s="26"/>
      <c r="J18" s="26"/>
      <c r="K18" s="26"/>
      <c r="L18" s="425"/>
      <c r="M18" s="1620"/>
      <c r="N18" s="1328"/>
      <c r="O18" s="1328"/>
      <c r="P18" s="1328"/>
      <c r="Q18" s="1328"/>
      <c r="R18" s="1328"/>
      <c r="S18" s="163"/>
      <c r="AG18" s="163"/>
      <c r="AH18" s="163"/>
      <c r="AI18" s="163"/>
      <c r="AJ18" s="163"/>
      <c r="AK18" s="163"/>
      <c r="AL18" s="163"/>
      <c r="AM18" s="163"/>
      <c r="AN18" s="163"/>
      <c r="AO18" s="163"/>
      <c r="AP18" s="163"/>
      <c r="AR18" s="2785"/>
    </row>
    <row r="19" spans="2:44" ht="16.5" customHeight="1" x14ac:dyDescent="0.2">
      <c r="B19" s="3355" t="s">
        <v>459</v>
      </c>
      <c r="C19" s="1204">
        <f>C17+1</f>
        <v>14</v>
      </c>
      <c r="D19" s="3369"/>
      <c r="E19" s="1526" t="s">
        <v>424</v>
      </c>
      <c r="F19" s="1526"/>
      <c r="G19" s="1526"/>
      <c r="H19" s="1526"/>
      <c r="I19" s="1526"/>
      <c r="J19" s="1526"/>
      <c r="K19" s="1526"/>
      <c r="L19" s="1453" t="s">
        <v>154</v>
      </c>
      <c r="M19" s="1554">
        <f>'Portionsw.(a)'!L32</f>
        <v>29.424999999999997</v>
      </c>
      <c r="N19" s="1527">
        <f>'Portionsw.(a)'!M32</f>
        <v>10.29875</v>
      </c>
      <c r="O19" s="1527">
        <f>'Portionsw.(a)'!N32</f>
        <v>7.3562499999999993</v>
      </c>
      <c r="P19" s="1527">
        <f>'Portionsw.(a)'!O32</f>
        <v>5.8849999999999998</v>
      </c>
      <c r="Q19" s="1527">
        <f>'Portionsw.(a)'!P32</f>
        <v>5.8849999999999998</v>
      </c>
      <c r="R19" s="1529">
        <f>'Portionsw.(a)'!Q32</f>
        <v>0</v>
      </c>
      <c r="AG19"/>
      <c r="AH19"/>
      <c r="AI19"/>
      <c r="AJ19"/>
      <c r="AK19"/>
      <c r="AL19"/>
      <c r="AM19"/>
      <c r="AN19"/>
      <c r="AO19"/>
      <c r="AP19"/>
      <c r="AR19" s="6"/>
    </row>
    <row r="20" spans="2:44" ht="16.5" customHeight="1" x14ac:dyDescent="0.2">
      <c r="B20" s="3356"/>
      <c r="C20" s="1308">
        <f t="shared" ref="C20:C34" si="3">C19+1</f>
        <v>15</v>
      </c>
      <c r="D20" s="3370"/>
      <c r="E20" s="2741" t="s">
        <v>1026</v>
      </c>
      <c r="F20" s="2784"/>
      <c r="G20" s="2784"/>
      <c r="H20" s="2784"/>
      <c r="I20" s="2784"/>
      <c r="J20" s="2784"/>
      <c r="K20" s="2784"/>
      <c r="L20" s="1197" t="s">
        <v>154</v>
      </c>
      <c r="M20" s="1305">
        <f>'Portionsw.(a)'!L34</f>
        <v>393.27119999999996</v>
      </c>
      <c r="N20" s="235">
        <f>'Portionsw.(a)'!M34</f>
        <v>137.64491999999998</v>
      </c>
      <c r="O20" s="235">
        <f>'Portionsw.(a)'!N34</f>
        <v>98.317799999999991</v>
      </c>
      <c r="P20" s="235">
        <f>'Portionsw.(a)'!O34</f>
        <v>78.654239999999987</v>
      </c>
      <c r="Q20" s="235">
        <f>'Portionsw.(a)'!P34</f>
        <v>78.654239999999987</v>
      </c>
      <c r="R20" s="1192">
        <f>'Portionsw.(a)'!Q34</f>
        <v>0</v>
      </c>
      <c r="AG20" s="2782"/>
      <c r="AH20" s="2782"/>
      <c r="AI20" s="2782"/>
      <c r="AJ20" s="2782"/>
      <c r="AK20" s="2782"/>
      <c r="AL20" s="19"/>
      <c r="AM20" s="205"/>
      <c r="AN20" s="18"/>
      <c r="AO20" s="205"/>
      <c r="AP20" s="205"/>
      <c r="AR20" s="234"/>
    </row>
    <row r="21" spans="2:44" ht="16.5" customHeight="1" x14ac:dyDescent="0.2">
      <c r="B21" s="3356"/>
      <c r="C21" s="1308">
        <f t="shared" si="3"/>
        <v>16</v>
      </c>
      <c r="D21" s="3370"/>
      <c r="E21" s="2785" t="s">
        <v>227</v>
      </c>
      <c r="F21" s="2785"/>
      <c r="G21" s="2785"/>
      <c r="H21" s="2785"/>
      <c r="I21" s="2785"/>
      <c r="J21" s="2785"/>
      <c r="K21" s="2785"/>
      <c r="L21" s="1197" t="s">
        <v>154</v>
      </c>
      <c r="M21" s="1305">
        <f>'Portionsw.(a)'!L40</f>
        <v>0</v>
      </c>
      <c r="N21" s="235">
        <f>'Portionsw.(a)'!M40</f>
        <v>0</v>
      </c>
      <c r="O21" s="235">
        <f>'Portionsw.(a)'!N40</f>
        <v>0</v>
      </c>
      <c r="P21" s="235">
        <f>'Portionsw.(a)'!O40</f>
        <v>0</v>
      </c>
      <c r="Q21" s="235">
        <f>'Portionsw.(a)'!P40</f>
        <v>0</v>
      </c>
      <c r="R21" s="1192">
        <f>'Portionsw.(a)'!Q40</f>
        <v>0</v>
      </c>
      <c r="AG21" s="2782"/>
      <c r="AH21" s="2782"/>
      <c r="AI21" s="2782"/>
      <c r="AJ21" s="2782"/>
      <c r="AK21" s="2782"/>
      <c r="AL21" s="19"/>
      <c r="AM21" s="205"/>
      <c r="AN21" s="18"/>
      <c r="AO21" s="205"/>
      <c r="AP21" s="205"/>
      <c r="AR21" s="234"/>
    </row>
    <row r="22" spans="2:44" ht="16.5" customHeight="1" x14ac:dyDescent="0.2">
      <c r="B22" s="3356"/>
      <c r="C22" s="1308">
        <f t="shared" si="3"/>
        <v>17</v>
      </c>
      <c r="D22" s="3370"/>
      <c r="E22" s="2785" t="s">
        <v>245</v>
      </c>
      <c r="F22" s="2785"/>
      <c r="G22" s="2785"/>
      <c r="H22" s="2785"/>
      <c r="I22" s="2785"/>
      <c r="J22" s="2785"/>
      <c r="K22" s="2785"/>
      <c r="L22" s="1197" t="s">
        <v>154</v>
      </c>
      <c r="M22" s="1305"/>
      <c r="N22" s="235"/>
      <c r="O22" s="235"/>
      <c r="P22" s="235"/>
      <c r="Q22" s="235"/>
      <c r="R22" s="1192"/>
      <c r="AG22" s="2782"/>
      <c r="AH22" s="2782"/>
      <c r="AI22" s="2782"/>
      <c r="AJ22" s="2782"/>
      <c r="AK22" s="2782"/>
      <c r="AL22" s="19"/>
      <c r="AM22" s="205"/>
      <c r="AN22" s="18"/>
      <c r="AO22" s="205"/>
      <c r="AP22" s="205"/>
      <c r="AR22" s="234"/>
    </row>
    <row r="23" spans="2:44" ht="16.5" customHeight="1" x14ac:dyDescent="0.2">
      <c r="B23" s="3356"/>
      <c r="C23" s="1308">
        <f t="shared" si="3"/>
        <v>18</v>
      </c>
      <c r="D23" s="3370"/>
      <c r="E23" s="2785" t="s">
        <v>451</v>
      </c>
      <c r="F23" s="2785"/>
      <c r="G23" s="2785"/>
      <c r="H23" s="2785"/>
      <c r="I23" s="2785"/>
      <c r="J23" s="2785"/>
      <c r="K23" s="2785"/>
      <c r="L23" s="1197" t="s">
        <v>154</v>
      </c>
      <c r="M23" s="1305">
        <f>'Portionsw.(a)'!L67</f>
        <v>83</v>
      </c>
      <c r="N23" s="235">
        <f>'Portionsw.(a)'!M67</f>
        <v>29.049999999999997</v>
      </c>
      <c r="O23" s="235">
        <f>'Portionsw.(a)'!N67</f>
        <v>20.75</v>
      </c>
      <c r="P23" s="235">
        <f>'Portionsw.(a)'!O67</f>
        <v>16.600000000000001</v>
      </c>
      <c r="Q23" s="235">
        <f>'Portionsw.(a)'!P67</f>
        <v>16.600000000000001</v>
      </c>
      <c r="R23" s="1192">
        <f>'Portionsw.(a)'!Q67</f>
        <v>0</v>
      </c>
      <c r="AG23" s="2782"/>
      <c r="AH23" s="2782"/>
      <c r="AI23" s="2782"/>
      <c r="AJ23" s="2782"/>
      <c r="AK23" s="2782"/>
      <c r="AL23" s="19"/>
      <c r="AM23" s="205"/>
      <c r="AN23" s="18"/>
      <c r="AO23" s="205"/>
      <c r="AP23" s="205"/>
      <c r="AR23" s="234"/>
    </row>
    <row r="24" spans="2:44" ht="16.5" customHeight="1" x14ac:dyDescent="0.2">
      <c r="B24" s="3356"/>
      <c r="C24" s="1308">
        <f t="shared" si="3"/>
        <v>19</v>
      </c>
      <c r="D24" s="3371"/>
      <c r="E24" s="2785" t="s">
        <v>246</v>
      </c>
      <c r="F24" s="2785"/>
      <c r="G24" s="2785"/>
      <c r="H24" s="2785"/>
      <c r="I24" s="2785"/>
      <c r="J24" s="2785"/>
      <c r="K24" s="2785"/>
      <c r="L24" s="1197" t="s">
        <v>154</v>
      </c>
      <c r="M24" s="1305">
        <f>'Portionsw.(a)'!L43</f>
        <v>37.978594302399998</v>
      </c>
      <c r="N24" s="235">
        <f>'Portionsw.(a)'!M43</f>
        <v>9.4946485755999994</v>
      </c>
      <c r="O24" s="235">
        <f>'Portionsw.(a)'!N43</f>
        <v>9.4946485755999994</v>
      </c>
      <c r="P24" s="235">
        <f>'Portionsw.(a)'!O43</f>
        <v>9.4946485755999994</v>
      </c>
      <c r="Q24" s="235">
        <f>'Portionsw.(a)'!P43</f>
        <v>9.4946485755999994</v>
      </c>
      <c r="R24" s="1192">
        <f>'Portionsw.(a)'!Q43</f>
        <v>0</v>
      </c>
      <c r="AG24" s="2782"/>
      <c r="AH24" s="2782"/>
      <c r="AI24" s="2782"/>
      <c r="AJ24" s="2782"/>
      <c r="AK24" s="2782"/>
      <c r="AL24" s="19"/>
      <c r="AM24" s="205"/>
      <c r="AN24" s="18"/>
      <c r="AO24" s="205"/>
      <c r="AP24" s="205"/>
      <c r="AR24" s="234"/>
    </row>
    <row r="25" spans="2:44" ht="16.5" customHeight="1" x14ac:dyDescent="0.2">
      <c r="B25" s="3356"/>
      <c r="C25" s="1308">
        <f t="shared" si="3"/>
        <v>20</v>
      </c>
      <c r="D25" s="3371"/>
      <c r="E25" s="2785" t="s">
        <v>171</v>
      </c>
      <c r="F25" s="2785"/>
      <c r="G25" s="2785"/>
      <c r="H25" s="2785"/>
      <c r="I25" s="2785"/>
      <c r="J25" s="2785"/>
      <c r="K25" s="2785"/>
      <c r="L25" s="1197" t="s">
        <v>154</v>
      </c>
      <c r="M25" s="1305">
        <f>'Portionsw.(a)'!L59</f>
        <v>15.469999999999999</v>
      </c>
      <c r="N25" s="235">
        <f>'Portionsw.(a)'!M59</f>
        <v>3.8674999999999997</v>
      </c>
      <c r="O25" s="235">
        <f>'Portionsw.(a)'!N59</f>
        <v>3.8674999999999997</v>
      </c>
      <c r="P25" s="235">
        <f>'Portionsw.(a)'!O59</f>
        <v>3.8674999999999997</v>
      </c>
      <c r="Q25" s="235">
        <f>'Portionsw.(a)'!P59</f>
        <v>3.8674999999999997</v>
      </c>
      <c r="R25" s="1192">
        <f>'Portionsw.(a)'!Q59</f>
        <v>0</v>
      </c>
      <c r="AG25" s="2782"/>
      <c r="AH25" s="2782"/>
      <c r="AI25" s="2782"/>
      <c r="AJ25" s="2782"/>
      <c r="AK25" s="2782"/>
      <c r="AL25" s="19"/>
      <c r="AM25" s="205"/>
      <c r="AN25" s="18"/>
      <c r="AO25" s="205"/>
      <c r="AP25" s="205"/>
      <c r="AR25" s="234"/>
    </row>
    <row r="26" spans="2:44" ht="16.5" customHeight="1" x14ac:dyDescent="0.2">
      <c r="B26" s="3356"/>
      <c r="C26" s="1345">
        <f t="shared" si="3"/>
        <v>21</v>
      </c>
      <c r="D26" s="3372"/>
      <c r="E26" s="2790" t="s">
        <v>85</v>
      </c>
      <c r="F26" s="2790"/>
      <c r="G26" s="2790"/>
      <c r="H26" s="2790"/>
      <c r="I26" s="2790"/>
      <c r="J26" s="2790"/>
      <c r="K26" s="2790"/>
      <c r="L26" s="1558" t="s">
        <v>154</v>
      </c>
      <c r="M26" s="1557">
        <f>'Portionsw.(a)'!L64</f>
        <v>0</v>
      </c>
      <c r="N26" s="1437">
        <f>'Portionsw.(a)'!M64</f>
        <v>0</v>
      </c>
      <c r="O26" s="1437">
        <f>'Portionsw.(a)'!N64</f>
        <v>0</v>
      </c>
      <c r="P26" s="1437">
        <f>'Portionsw.(a)'!O64</f>
        <v>0</v>
      </c>
      <c r="Q26" s="1437">
        <f>'Portionsw.(a)'!P64</f>
        <v>0</v>
      </c>
      <c r="R26" s="1439">
        <f>'Portionsw.(a)'!Q64</f>
        <v>0</v>
      </c>
      <c r="AG26" s="2782"/>
      <c r="AH26" s="2782"/>
      <c r="AI26" s="2782"/>
      <c r="AJ26" s="2782"/>
      <c r="AK26" s="2782"/>
      <c r="AL26" s="19"/>
      <c r="AM26" s="205"/>
      <c r="AN26" s="18"/>
      <c r="AO26" s="205"/>
      <c r="AP26" s="205"/>
      <c r="AR26" s="234"/>
    </row>
    <row r="27" spans="2:44" ht="20.399999999999999" customHeight="1" x14ac:dyDescent="0.2">
      <c r="B27" s="3357"/>
      <c r="C27" s="1345">
        <f t="shared" si="3"/>
        <v>22</v>
      </c>
      <c r="D27" s="2791" t="s">
        <v>301</v>
      </c>
      <c r="E27" s="1486"/>
      <c r="F27" s="1780"/>
      <c r="G27" s="1780"/>
      <c r="H27" s="1780"/>
      <c r="I27" s="1780"/>
      <c r="J27" s="1780"/>
      <c r="K27" s="1780"/>
      <c r="L27" s="1781" t="s">
        <v>154</v>
      </c>
      <c r="M27" s="1782">
        <f t="shared" ref="M27:R27" si="4">M19+M20+M21+M23+M24+M25+M26</f>
        <v>559.14479430239999</v>
      </c>
      <c r="N27" s="1782">
        <f t="shared" si="4"/>
        <v>190.35581857560001</v>
      </c>
      <c r="O27" s="1782">
        <f t="shared" si="4"/>
        <v>139.7861985756</v>
      </c>
      <c r="P27" s="1782">
        <f t="shared" si="4"/>
        <v>114.5013885756</v>
      </c>
      <c r="Q27" s="1782">
        <f t="shared" si="4"/>
        <v>114.5013885756</v>
      </c>
      <c r="R27" s="1863">
        <f t="shared" si="4"/>
        <v>0</v>
      </c>
      <c r="AG27" s="2782"/>
      <c r="AH27" s="2782"/>
      <c r="AI27" s="2782"/>
      <c r="AJ27" s="2782"/>
      <c r="AK27" s="2782"/>
      <c r="AL27" s="19"/>
      <c r="AM27" s="205"/>
      <c r="AN27" s="18"/>
      <c r="AO27" s="205"/>
      <c r="AP27" s="205"/>
      <c r="AR27" s="234"/>
    </row>
    <row r="28" spans="2:44" ht="19.2" customHeight="1" x14ac:dyDescent="0.2">
      <c r="B28" s="3355" t="s">
        <v>460</v>
      </c>
      <c r="C28" s="1371">
        <f t="shared" si="3"/>
        <v>23</v>
      </c>
      <c r="D28" s="3360" t="s">
        <v>272</v>
      </c>
      <c r="E28" s="3361"/>
      <c r="F28" s="3361"/>
      <c r="G28" s="3361"/>
      <c r="H28" s="3361"/>
      <c r="I28" s="3361"/>
      <c r="J28" s="3361"/>
      <c r="K28" s="3361"/>
      <c r="L28" s="1578" t="s">
        <v>154</v>
      </c>
      <c r="M28" s="1321">
        <f t="shared" ref="M28:R28" si="5">-M27</f>
        <v>-559.14479430239999</v>
      </c>
      <c r="N28" s="1321">
        <f t="shared" si="5"/>
        <v>-190.35581857560001</v>
      </c>
      <c r="O28" s="1321">
        <f t="shared" si="5"/>
        <v>-139.7861985756</v>
      </c>
      <c r="P28" s="1321">
        <f t="shared" si="5"/>
        <v>-114.5013885756</v>
      </c>
      <c r="Q28" s="1321">
        <f t="shared" si="5"/>
        <v>-114.5013885756</v>
      </c>
      <c r="R28" s="1374">
        <f t="shared" si="5"/>
        <v>0</v>
      </c>
      <c r="AG28" s="2782"/>
      <c r="AH28" s="2782"/>
      <c r="AI28" s="2782"/>
      <c r="AJ28" s="2782"/>
      <c r="AK28" s="2782"/>
      <c r="AL28" s="19"/>
      <c r="AM28" s="205"/>
      <c r="AN28" s="18"/>
      <c r="AO28" s="205"/>
      <c r="AP28" s="205"/>
      <c r="AR28" s="234"/>
    </row>
    <row r="29" spans="2:44" ht="14.95" customHeight="1" x14ac:dyDescent="0.2">
      <c r="B29" s="3358"/>
      <c r="C29" s="1308">
        <f t="shared" si="3"/>
        <v>24</v>
      </c>
      <c r="D29" s="1783"/>
      <c r="E29" s="1363"/>
      <c r="F29" s="1784"/>
      <c r="G29" s="1784"/>
      <c r="H29" s="1784"/>
      <c r="I29" s="1784"/>
      <c r="J29" s="1784"/>
      <c r="K29" s="1784"/>
      <c r="L29" s="1510" t="s">
        <v>158</v>
      </c>
      <c r="M29" s="1377">
        <f t="shared" ref="M29:R29" si="6">IF(M8=0,0,M28/M12)</f>
        <v>-0.1188468663164674</v>
      </c>
      <c r="N29" s="1377">
        <f t="shared" si="6"/>
        <v>-0.10937632324964448</v>
      </c>
      <c r="O29" s="1377">
        <f t="shared" si="6"/>
        <v>-0.11601717902321818</v>
      </c>
      <c r="P29" s="1377">
        <f t="shared" si="6"/>
        <v>-0.1268432353778664</v>
      </c>
      <c r="Q29" s="1377">
        <f t="shared" si="6"/>
        <v>-0.13363840870168067</v>
      </c>
      <c r="R29" s="1785">
        <f t="shared" si="6"/>
        <v>0</v>
      </c>
      <c r="U29" s="2112" t="s">
        <v>563</v>
      </c>
      <c r="AG29" s="2782"/>
      <c r="AH29" s="2782"/>
      <c r="AI29" s="2782"/>
      <c r="AJ29" s="2782"/>
      <c r="AK29" s="2782"/>
      <c r="AL29" s="19"/>
      <c r="AM29" s="205"/>
      <c r="AN29" s="18"/>
      <c r="AO29" s="205"/>
      <c r="AP29" s="205"/>
      <c r="AR29" s="234"/>
    </row>
    <row r="30" spans="2:44" ht="20.399999999999999" customHeight="1" x14ac:dyDescent="0.2">
      <c r="B30" s="3358"/>
      <c r="C30" s="1308">
        <f t="shared" si="3"/>
        <v>25</v>
      </c>
      <c r="D30" s="3" t="s">
        <v>566</v>
      </c>
      <c r="E30" s="3"/>
      <c r="F30" s="3"/>
      <c r="G30" s="163"/>
      <c r="H30" s="163"/>
      <c r="I30" s="24"/>
      <c r="J30" s="24"/>
      <c r="K30" s="24"/>
      <c r="L30" s="425" t="s">
        <v>154</v>
      </c>
      <c r="M30" s="1291">
        <f t="shared" ref="M30:R30" si="7">M17</f>
        <v>560</v>
      </c>
      <c r="N30" s="1553">
        <f t="shared" si="7"/>
        <v>196</v>
      </c>
      <c r="O30" s="1553">
        <f t="shared" si="7"/>
        <v>140</v>
      </c>
      <c r="P30" s="1553">
        <f t="shared" si="7"/>
        <v>112</v>
      </c>
      <c r="Q30" s="1553">
        <f t="shared" si="7"/>
        <v>112</v>
      </c>
      <c r="R30" s="1299">
        <f t="shared" si="7"/>
        <v>0</v>
      </c>
      <c r="T30" s="2112" t="s">
        <v>565</v>
      </c>
      <c r="U30" s="2115">
        <f>'Portionsw.(a)'!L25</f>
        <v>290</v>
      </c>
      <c r="V30" s="2115">
        <f>'Portionsw.(a)'!M25</f>
        <v>101.5</v>
      </c>
      <c r="W30" s="2115">
        <f>'Portionsw.(a)'!N25</f>
        <v>72.5</v>
      </c>
      <c r="X30" s="2115">
        <f>'Portionsw.(a)'!O25</f>
        <v>58</v>
      </c>
      <c r="Y30" s="2115">
        <f>'Portionsw.(a)'!P25</f>
        <v>58</v>
      </c>
      <c r="Z30" s="2115">
        <f>'Portionsw.(a)'!Q25</f>
        <v>0</v>
      </c>
      <c r="AA30">
        <f>'Portionsw.(a)'!R25+'Portionsw.(a)'!R30</f>
        <v>0</v>
      </c>
      <c r="AG30" s="2782"/>
      <c r="AH30" s="2782"/>
      <c r="AI30" s="2782"/>
      <c r="AJ30" s="2782"/>
      <c r="AK30" s="2782"/>
      <c r="AL30" s="19"/>
      <c r="AM30" s="205"/>
      <c r="AN30" s="18"/>
      <c r="AO30" s="205"/>
      <c r="AP30" s="205"/>
      <c r="AR30" s="234"/>
    </row>
    <row r="31" spans="2:44" ht="16.5" customHeight="1" x14ac:dyDescent="0.2">
      <c r="B31" s="3358"/>
      <c r="C31" s="1308">
        <f t="shared" si="3"/>
        <v>26</v>
      </c>
      <c r="D31" s="1556" t="s">
        <v>84</v>
      </c>
      <c r="E31" s="74"/>
      <c r="F31" s="2790"/>
      <c r="G31" s="2790"/>
      <c r="H31" s="2790"/>
      <c r="I31" s="2790"/>
      <c r="J31" s="2790"/>
      <c r="K31" s="2790"/>
      <c r="L31" s="1436" t="s">
        <v>154</v>
      </c>
      <c r="M31" s="1557">
        <f>M27*'Portionsw.(a)'!$L$72*'Portionsw.(a)'!$Q$72/12/100</f>
        <v>3.49465496439</v>
      </c>
      <c r="N31" s="1437">
        <f>N27*'Portionsw.(a)'!$L$72*'Portionsw.(a)'!$Q$72/12/100</f>
        <v>1.1897238660975002</v>
      </c>
      <c r="O31" s="1437">
        <f>O27*'Portionsw.(a)'!$L$72*'Portionsw.(a)'!$Q$72/12/100</f>
        <v>0.8736637410975</v>
      </c>
      <c r="P31" s="1437">
        <f>P27*'Portionsw.(a)'!$L$72*'Portionsw.(a)'!$Q$72/12/100</f>
        <v>0.71563367859750004</v>
      </c>
      <c r="Q31" s="1437">
        <f>Q27*'Portionsw.(a)'!$L$72*'Portionsw.(a)'!$Q$72/12/100</f>
        <v>0.71563367859750004</v>
      </c>
      <c r="R31" s="1439">
        <f>R27*'Portionsw.(a)'!$L$72*'Portionsw.(a)'!$Q$72/12/100</f>
        <v>0</v>
      </c>
      <c r="T31" s="2112" t="s">
        <v>564</v>
      </c>
      <c r="U31" s="2115">
        <f>'Portionsw.(a)'!L30</f>
        <v>270</v>
      </c>
      <c r="V31" s="2115">
        <f>'Portionsw.(a)'!M30</f>
        <v>94.5</v>
      </c>
      <c r="W31" s="2115">
        <f>'Portionsw.(a)'!N30</f>
        <v>67.5</v>
      </c>
      <c r="X31" s="2115">
        <f>'Portionsw.(a)'!O30</f>
        <v>54</v>
      </c>
      <c r="Y31" s="2115">
        <f>'Portionsw.(a)'!P30</f>
        <v>54</v>
      </c>
      <c r="Z31" s="2115">
        <f>'Portionsw.(a)'!Q30</f>
        <v>0</v>
      </c>
      <c r="AG31" s="2782"/>
      <c r="AH31" s="2782"/>
      <c r="AI31" s="2782"/>
      <c r="AJ31" s="2782"/>
      <c r="AK31" s="2782"/>
      <c r="AL31" s="19"/>
      <c r="AM31" s="205"/>
      <c r="AN31" s="18"/>
      <c r="AO31" s="205"/>
      <c r="AP31" s="205"/>
      <c r="AR31" s="234"/>
    </row>
    <row r="32" spans="2:44" s="371" customFormat="1" ht="20.399999999999999" customHeight="1" x14ac:dyDescent="0.2">
      <c r="B32" s="3358"/>
      <c r="C32" s="1308">
        <f t="shared" si="3"/>
        <v>27</v>
      </c>
      <c r="D32" s="3362" t="s">
        <v>567</v>
      </c>
      <c r="E32" s="3363"/>
      <c r="F32" s="3363"/>
      <c r="G32" s="3363"/>
      <c r="H32" s="3363"/>
      <c r="I32" s="3363"/>
      <c r="J32" s="3363"/>
      <c r="K32" s="3363"/>
      <c r="L32" s="1213" t="s">
        <v>154</v>
      </c>
      <c r="M32" s="1313">
        <f t="shared" ref="M32:R32" si="8">M28+M30-M31</f>
        <v>-2.6394492667899869</v>
      </c>
      <c r="N32" s="1313">
        <f t="shared" si="8"/>
        <v>4.4544575583024884</v>
      </c>
      <c r="O32" s="1313">
        <f t="shared" si="8"/>
        <v>-0.65986231669749673</v>
      </c>
      <c r="P32" s="1313">
        <f t="shared" si="8"/>
        <v>-3.2170222541975035</v>
      </c>
      <c r="Q32" s="1313">
        <f t="shared" si="8"/>
        <v>-3.2170222541975035</v>
      </c>
      <c r="R32" s="1320">
        <f t="shared" si="8"/>
        <v>0</v>
      </c>
      <c r="S32" s="246"/>
      <c r="U32" s="371">
        <f t="shared" ref="U32:Z32" si="9">U30+U31</f>
        <v>560</v>
      </c>
      <c r="V32" s="371">
        <f t="shared" si="9"/>
        <v>196</v>
      </c>
      <c r="W32" s="371">
        <f t="shared" si="9"/>
        <v>140</v>
      </c>
      <c r="X32" s="371">
        <f t="shared" si="9"/>
        <v>112</v>
      </c>
      <c r="Y32" s="371">
        <f t="shared" si="9"/>
        <v>112</v>
      </c>
      <c r="Z32" s="371">
        <f t="shared" si="9"/>
        <v>0</v>
      </c>
      <c r="AG32" s="966"/>
      <c r="AH32" s="966"/>
      <c r="AI32" s="966"/>
      <c r="AJ32" s="966"/>
      <c r="AK32" s="966"/>
      <c r="AL32" s="376"/>
      <c r="AM32" s="1329"/>
      <c r="AN32" s="1329"/>
      <c r="AO32" s="1329"/>
      <c r="AP32" s="1329"/>
      <c r="AR32" s="1330"/>
    </row>
    <row r="33" spans="2:44" s="371" customFormat="1" ht="18" customHeight="1" x14ac:dyDescent="0.2">
      <c r="B33" s="3358"/>
      <c r="C33" s="1308">
        <f t="shared" si="3"/>
        <v>28</v>
      </c>
      <c r="D33" s="1786"/>
      <c r="E33" s="1318"/>
      <c r="F33" s="1318"/>
      <c r="G33" s="1318"/>
      <c r="H33" s="1318"/>
      <c r="I33" s="1318"/>
      <c r="J33" s="1318"/>
      <c r="K33" s="1318"/>
      <c r="L33" s="1208" t="s">
        <v>158</v>
      </c>
      <c r="M33" s="1199">
        <f t="shared" ref="M33:R33" si="10">IF(M12=0,0,M32/M12)</f>
        <v>-5.6101796414049349E-4</v>
      </c>
      <c r="N33" s="1199">
        <f t="shared" si="10"/>
        <v>2.559481467099038E-3</v>
      </c>
      <c r="O33" s="1199">
        <f t="shared" si="10"/>
        <v>-5.4766039356571989E-4</v>
      </c>
      <c r="P33" s="1199">
        <f t="shared" si="10"/>
        <v>-3.563777837817108E-3</v>
      </c>
      <c r="Q33" s="1199">
        <f t="shared" si="10"/>
        <v>-3.7546945077001678E-3</v>
      </c>
      <c r="R33" s="1779">
        <f t="shared" si="10"/>
        <v>0</v>
      </c>
      <c r="S33" s="246"/>
      <c r="AG33" s="966"/>
      <c r="AH33" s="966"/>
      <c r="AI33" s="966"/>
      <c r="AJ33" s="966"/>
      <c r="AK33" s="966"/>
      <c r="AL33" s="376"/>
      <c r="AM33" s="1176"/>
      <c r="AN33" s="1176"/>
      <c r="AO33" s="1176"/>
      <c r="AP33" s="1176"/>
      <c r="AR33" s="1330"/>
    </row>
    <row r="34" spans="2:44" s="371" customFormat="1" ht="18" customHeight="1" thickBot="1" x14ac:dyDescent="0.25">
      <c r="B34" s="3359"/>
      <c r="C34" s="1346">
        <f t="shared" si="3"/>
        <v>29</v>
      </c>
      <c r="D34" s="1880"/>
      <c r="E34" s="1193"/>
      <c r="F34" s="1193"/>
      <c r="G34" s="1193"/>
      <c r="H34" s="1193"/>
      <c r="I34" s="1193"/>
      <c r="J34" s="1193"/>
      <c r="K34" s="1193"/>
      <c r="L34" s="1209" t="s">
        <v>159</v>
      </c>
      <c r="M34" s="1599">
        <f t="shared" ref="M34:R34" si="11">IF(M13=0,0,M32/M13)</f>
        <v>-3.3661077848429611E-4</v>
      </c>
      <c r="N34" s="1599">
        <f t="shared" si="11"/>
        <v>1.5356888802594228E-3</v>
      </c>
      <c r="O34" s="1599">
        <f t="shared" si="11"/>
        <v>-3.2859623613943191E-4</v>
      </c>
      <c r="P34" s="1599">
        <f t="shared" si="11"/>
        <v>-2.1382667026902647E-3</v>
      </c>
      <c r="Q34" s="1599">
        <f t="shared" si="11"/>
        <v>-2.2528167046201005E-3</v>
      </c>
      <c r="R34" s="1787">
        <f t="shared" si="11"/>
        <v>0</v>
      </c>
      <c r="S34" s="246"/>
      <c r="AG34" s="966"/>
      <c r="AH34" s="966"/>
      <c r="AI34" s="966"/>
      <c r="AJ34" s="966"/>
      <c r="AK34" s="966"/>
      <c r="AL34" s="376"/>
      <c r="AM34" s="1176"/>
      <c r="AN34" s="1176"/>
      <c r="AO34" s="1176"/>
      <c r="AP34" s="1176"/>
      <c r="AR34" s="1330"/>
    </row>
    <row r="35" spans="2:44" s="291" customFormat="1" ht="4.95" customHeight="1" thickBot="1" x14ac:dyDescent="0.25">
      <c r="B35" s="1202"/>
      <c r="C35" s="1289"/>
      <c r="D35" s="1205"/>
      <c r="E35" s="1456"/>
      <c r="F35" s="966"/>
      <c r="G35" s="966"/>
      <c r="H35" s="966"/>
      <c r="I35" s="966"/>
      <c r="J35" s="966"/>
      <c r="K35" s="966"/>
      <c r="L35" s="1214"/>
      <c r="M35" s="1306"/>
      <c r="N35" s="1175"/>
      <c r="O35" s="1175"/>
      <c r="P35" s="1175"/>
      <c r="Q35" s="1175"/>
      <c r="R35" s="1603"/>
      <c r="S35" s="247"/>
      <c r="AG35" s="966"/>
      <c r="AH35" s="966"/>
      <c r="AI35" s="966"/>
      <c r="AJ35" s="966"/>
      <c r="AK35" s="966"/>
      <c r="AL35" s="376"/>
      <c r="AM35" s="1176"/>
      <c r="AN35" s="1176"/>
      <c r="AO35" s="1176"/>
      <c r="AP35" s="1176"/>
      <c r="AR35" s="966"/>
    </row>
    <row r="36" spans="2:44" s="1446" customFormat="1" ht="20.399999999999999" customHeight="1" x14ac:dyDescent="0.2">
      <c r="B36" s="3355" t="s">
        <v>226</v>
      </c>
      <c r="C36" s="1448">
        <f>C34+1</f>
        <v>30</v>
      </c>
      <c r="D36" s="1768"/>
      <c r="E36" s="2788" t="s">
        <v>242</v>
      </c>
      <c r="F36" s="2788"/>
      <c r="G36" s="2788"/>
      <c r="H36" s="2788"/>
      <c r="I36" s="2788"/>
      <c r="J36" s="2788"/>
      <c r="K36" s="2788"/>
      <c r="L36" s="1770" t="s">
        <v>161</v>
      </c>
      <c r="M36" s="1771">
        <f>'Portionsw.(a)'!K58</f>
        <v>19.294</v>
      </c>
      <c r="N36" s="1772">
        <f>'Portionsw.(a)'!M58</f>
        <v>4.8235000000000001</v>
      </c>
      <c r="O36" s="1772">
        <f>'Portionsw.(a)'!N58</f>
        <v>4.8235000000000001</v>
      </c>
      <c r="P36" s="1772">
        <f>'Portionsw.(a)'!O58</f>
        <v>4.8235000000000001</v>
      </c>
      <c r="Q36" s="1772">
        <f>'Portionsw.(a)'!P58</f>
        <v>4.8235000000000001</v>
      </c>
      <c r="R36" s="1773">
        <f>'Portionsw.(a)'!Q58</f>
        <v>0</v>
      </c>
      <c r="S36" s="765"/>
      <c r="AG36" s="765"/>
      <c r="AH36" s="765"/>
      <c r="AI36" s="765"/>
      <c r="AJ36" s="765"/>
      <c r="AK36" s="765"/>
      <c r="AL36" s="765"/>
      <c r="AM36" s="765"/>
      <c r="AN36" s="765"/>
      <c r="AO36" s="765"/>
      <c r="AP36" s="765"/>
      <c r="AR36" s="1561"/>
    </row>
    <row r="37" spans="2:44" s="1" customFormat="1" ht="19.2" customHeight="1" x14ac:dyDescent="0.2">
      <c r="B37" s="3356"/>
      <c r="C37" s="1349">
        <f>C36+1</f>
        <v>31</v>
      </c>
      <c r="D37" s="1567"/>
      <c r="E37" s="1442" t="s">
        <v>434</v>
      </c>
      <c r="F37" s="1562"/>
      <c r="G37" s="1562"/>
      <c r="H37" s="1562"/>
      <c r="I37" s="550"/>
      <c r="J37" s="550"/>
      <c r="K37" s="550"/>
      <c r="L37" s="425" t="s">
        <v>378</v>
      </c>
      <c r="M37" s="1774">
        <f>'Portionsw.(a)'!K16</f>
        <v>0</v>
      </c>
      <c r="N37" s="1775">
        <f>'Portionsw.(a)'!M16</f>
        <v>0</v>
      </c>
      <c r="O37" s="1775">
        <f>'Portionsw.(a)'!N16</f>
        <v>0</v>
      </c>
      <c r="P37" s="1775">
        <f>'Portionsw.(a)'!O16</f>
        <v>0</v>
      </c>
      <c r="Q37" s="1775">
        <f>'Portionsw.(a)'!P16</f>
        <v>0</v>
      </c>
      <c r="R37" s="1776">
        <f>'Portionsw.(a)'!Q16</f>
        <v>0</v>
      </c>
      <c r="S37" s="765"/>
      <c r="V37" s="168"/>
      <c r="AG37" s="765"/>
      <c r="AH37" s="765"/>
      <c r="AI37" s="765"/>
      <c r="AJ37" s="765"/>
      <c r="AK37" s="765"/>
      <c r="AL37" s="765"/>
      <c r="AM37" s="765"/>
      <c r="AN37" s="765"/>
      <c r="AO37" s="765"/>
      <c r="AP37" s="765"/>
      <c r="AQ37" s="1446"/>
      <c r="AR37" s="5"/>
    </row>
    <row r="38" spans="2:44" s="1" customFormat="1" ht="19.2" customHeight="1" x14ac:dyDescent="0.2">
      <c r="B38" s="3356"/>
      <c r="C38" s="1372">
        <f t="shared" ref="C38:C45" si="12">C37+1</f>
        <v>32</v>
      </c>
      <c r="D38" s="1563"/>
      <c r="E38" s="2790" t="s">
        <v>211</v>
      </c>
      <c r="F38" s="2790"/>
      <c r="G38" s="2790"/>
      <c r="H38" s="2790"/>
      <c r="I38" s="1564"/>
      <c r="J38" s="1564"/>
      <c r="K38" s="1564"/>
      <c r="L38" s="392" t="s">
        <v>218</v>
      </c>
      <c r="M38" s="1685"/>
      <c r="N38" s="1565">
        <f>'Portionsw.(a)'!M78</f>
        <v>0</v>
      </c>
      <c r="O38" s="1565">
        <f>'Portionsw.(a)'!N78</f>
        <v>0</v>
      </c>
      <c r="P38" s="1565">
        <f>'Portionsw.(a)'!O78</f>
        <v>0</v>
      </c>
      <c r="Q38" s="1565">
        <f>'Portionsw.(a)'!P78</f>
        <v>0</v>
      </c>
      <c r="R38" s="1566">
        <f>'Portionsw.(a)'!Q78</f>
        <v>0</v>
      </c>
      <c r="S38" s="765"/>
      <c r="V38" s="168"/>
      <c r="AG38" s="765"/>
      <c r="AH38" s="765"/>
      <c r="AI38" s="765"/>
      <c r="AJ38" s="765"/>
      <c r="AK38" s="765"/>
      <c r="AL38" s="765"/>
      <c r="AM38" s="765"/>
      <c r="AN38" s="765"/>
      <c r="AO38" s="765"/>
      <c r="AP38" s="765"/>
      <c r="AQ38" s="1446"/>
      <c r="AR38" s="5"/>
    </row>
    <row r="39" spans="2:44" s="1" customFormat="1" ht="19.2" customHeight="1" x14ac:dyDescent="0.2">
      <c r="B39" s="3356"/>
      <c r="C39" s="1349">
        <f t="shared" si="12"/>
        <v>33</v>
      </c>
      <c r="D39" s="1206"/>
      <c r="E39" s="2785" t="s">
        <v>212</v>
      </c>
      <c r="F39" s="2785"/>
      <c r="G39" s="163"/>
      <c r="H39" s="163"/>
      <c r="I39" s="1777">
        <f>Preise!$M$37</f>
        <v>16.5</v>
      </c>
      <c r="J39" s="299" t="s">
        <v>217</v>
      </c>
      <c r="K39" s="1778"/>
      <c r="L39" s="1198" t="s">
        <v>154</v>
      </c>
      <c r="M39" s="1305">
        <f t="shared" ref="M39:R39" si="13">$I$39*M36</f>
        <v>318.351</v>
      </c>
      <c r="N39" s="235">
        <f t="shared" si="13"/>
        <v>79.58775</v>
      </c>
      <c r="O39" s="235">
        <f t="shared" si="13"/>
        <v>79.58775</v>
      </c>
      <c r="P39" s="235">
        <f t="shared" si="13"/>
        <v>79.58775</v>
      </c>
      <c r="Q39" s="235">
        <f t="shared" si="13"/>
        <v>79.58775</v>
      </c>
      <c r="R39" s="1192">
        <f t="shared" si="13"/>
        <v>0</v>
      </c>
      <c r="S39" s="765"/>
      <c r="V39" s="168"/>
      <c r="AG39" s="765"/>
      <c r="AH39" s="765"/>
      <c r="AI39" s="765"/>
      <c r="AJ39" s="765"/>
      <c r="AK39" s="765"/>
      <c r="AL39" s="765"/>
      <c r="AM39" s="765"/>
      <c r="AN39" s="765"/>
      <c r="AO39" s="765"/>
      <c r="AP39" s="765"/>
      <c r="AQ39" s="1446"/>
      <c r="AR39" s="5"/>
    </row>
    <row r="40" spans="2:44" s="1" customFormat="1" ht="19.2" customHeight="1" x14ac:dyDescent="0.2">
      <c r="B40" s="3356"/>
      <c r="C40" s="1349">
        <f t="shared" si="12"/>
        <v>34</v>
      </c>
      <c r="D40" s="1206"/>
      <c r="E40" s="2785" t="s">
        <v>211</v>
      </c>
      <c r="F40" s="2785"/>
      <c r="G40" s="2785"/>
      <c r="H40" s="2785"/>
      <c r="I40" s="2785"/>
      <c r="J40" s="2785"/>
      <c r="K40" s="2785"/>
      <c r="L40" s="1198" t="s">
        <v>154</v>
      </c>
      <c r="M40" s="1305">
        <f>SUM(N40:R40)</f>
        <v>0</v>
      </c>
      <c r="N40" s="235">
        <f>N37*N38</f>
        <v>0</v>
      </c>
      <c r="O40" s="235">
        <f>O37*O38</f>
        <v>0</v>
      </c>
      <c r="P40" s="235">
        <f>P37*P38</f>
        <v>0</v>
      </c>
      <c r="Q40" s="235">
        <f>Q37*Q38</f>
        <v>0</v>
      </c>
      <c r="R40" s="1192">
        <f>R37*R38</f>
        <v>0</v>
      </c>
      <c r="S40" s="765"/>
      <c r="U40" s="2115"/>
      <c r="V40" s="2115"/>
      <c r="W40" s="2115"/>
      <c r="X40" s="2115"/>
      <c r="Y40" s="2115"/>
      <c r="Z40" s="2115"/>
      <c r="AG40" s="765"/>
      <c r="AH40" s="765"/>
      <c r="AI40" s="765"/>
      <c r="AJ40" s="765"/>
      <c r="AK40" s="765"/>
      <c r="AL40" s="765"/>
      <c r="AM40" s="765"/>
      <c r="AN40" s="765"/>
      <c r="AO40" s="765"/>
      <c r="AP40" s="765"/>
      <c r="AQ40" s="1446"/>
      <c r="AR40" s="5"/>
    </row>
    <row r="41" spans="2:44" ht="19.2" customHeight="1" x14ac:dyDescent="0.2">
      <c r="B41" s="3356"/>
      <c r="C41" s="1349">
        <f t="shared" si="12"/>
        <v>35</v>
      </c>
      <c r="D41" s="9"/>
      <c r="E41" s="2785" t="s">
        <v>228</v>
      </c>
      <c r="F41" s="2785"/>
      <c r="G41" s="2785"/>
      <c r="H41" s="2785"/>
      <c r="I41" s="2785"/>
      <c r="J41" s="2785"/>
      <c r="K41" s="2785"/>
      <c r="L41" s="1198" t="s">
        <v>154</v>
      </c>
      <c r="M41" s="1305">
        <f>Maschinen!T43</f>
        <v>111.17085777777777</v>
      </c>
      <c r="N41" s="235">
        <f>N$6/$M$6*$M$41</f>
        <v>38.909800222222216</v>
      </c>
      <c r="O41" s="235">
        <f>O$6/$M$6*$M$41</f>
        <v>27.792714444444442</v>
      </c>
      <c r="P41" s="235">
        <f>P$6/$M$6*$M$41</f>
        <v>22.234171555555555</v>
      </c>
      <c r="Q41" s="235">
        <f>Q$6/$M$6*$M$41</f>
        <v>22.234171555555555</v>
      </c>
      <c r="R41" s="1192">
        <f>R$6/$M$6*$M$41</f>
        <v>0</v>
      </c>
      <c r="AG41"/>
      <c r="AH41"/>
      <c r="AI41"/>
      <c r="AJ41"/>
      <c r="AK41"/>
      <c r="AL41"/>
      <c r="AM41"/>
      <c r="AN41"/>
      <c r="AO41"/>
      <c r="AP41"/>
      <c r="AR41" s="167"/>
    </row>
    <row r="42" spans="2:44" ht="19.2" customHeight="1" x14ac:dyDescent="0.2">
      <c r="B42" s="3356"/>
      <c r="C42" s="1349">
        <f t="shared" si="12"/>
        <v>36</v>
      </c>
      <c r="D42" s="1206"/>
      <c r="E42" s="2785" t="s">
        <v>243</v>
      </c>
      <c r="F42" s="2785"/>
      <c r="G42" s="2785"/>
      <c r="H42" s="2785"/>
      <c r="I42" s="2785"/>
      <c r="J42" s="2785"/>
      <c r="K42" s="2785"/>
      <c r="L42" s="1198" t="s">
        <v>154</v>
      </c>
      <c r="M42" s="1305">
        <f>Maschinen!S54</f>
        <v>38.823749999999997</v>
      </c>
      <c r="N42" s="235">
        <f>N$6/$M$6*$M$42</f>
        <v>13.588312499999999</v>
      </c>
      <c r="O42" s="235">
        <f>O$6/$M$6*$M$42</f>
        <v>9.7059374999999992</v>
      </c>
      <c r="P42" s="235">
        <f>P$6/$M$6*$M$42</f>
        <v>7.7647499999999994</v>
      </c>
      <c r="Q42" s="235">
        <f>Q$6/$M$6*$M$42</f>
        <v>7.7647499999999994</v>
      </c>
      <c r="R42" s="1192">
        <f>R$6/$M$6*$M$42</f>
        <v>0</v>
      </c>
      <c r="AG42" s="9"/>
      <c r="AH42" s="9"/>
      <c r="AI42" s="9"/>
      <c r="AJ42" s="9"/>
      <c r="AK42" s="9"/>
      <c r="AL42" s="158"/>
      <c r="AM42" s="160"/>
      <c r="AN42" s="161"/>
      <c r="AO42" s="160"/>
      <c r="AP42" s="160"/>
      <c r="AR42" s="12"/>
    </row>
    <row r="43" spans="2:44" ht="19.2" customHeight="1" x14ac:dyDescent="0.2">
      <c r="B43" s="3356"/>
      <c r="C43" s="1349">
        <f t="shared" si="12"/>
        <v>37</v>
      </c>
      <c r="D43" s="1206"/>
      <c r="E43" s="2785" t="s">
        <v>166</v>
      </c>
      <c r="F43" s="2785"/>
      <c r="G43" s="2785"/>
      <c r="H43" s="2785"/>
      <c r="I43" s="2785"/>
      <c r="J43" s="2785"/>
      <c r="K43" s="2785"/>
      <c r="L43" s="1198" t="s">
        <v>154</v>
      </c>
      <c r="M43" s="1305">
        <f>'Lager-Fläche'!$J$47</f>
        <v>170</v>
      </c>
      <c r="N43" s="235">
        <f>N$6/$M$6*$M$43</f>
        <v>59.499999999999993</v>
      </c>
      <c r="O43" s="235">
        <f>O$6/$M$6*$M$43</f>
        <v>42.5</v>
      </c>
      <c r="P43" s="235">
        <f>P$6/$M$6*$M$43</f>
        <v>34</v>
      </c>
      <c r="Q43" s="235">
        <f>Q$6/$M$6*$M$43</f>
        <v>34</v>
      </c>
      <c r="R43" s="1192">
        <f>R$6/$M$6*$M$43</f>
        <v>0</v>
      </c>
      <c r="AG43" s="2783"/>
      <c r="AH43" s="2783"/>
      <c r="AI43" s="2783"/>
      <c r="AJ43" s="2783"/>
      <c r="AK43" s="2783"/>
      <c r="AL43" s="13"/>
      <c r="AM43" s="20"/>
      <c r="AN43" s="21"/>
      <c r="AO43" s="20"/>
      <c r="AP43" s="20"/>
      <c r="AR43" s="10"/>
    </row>
    <row r="44" spans="2:44" ht="19.2" customHeight="1" x14ac:dyDescent="0.2">
      <c r="B44" s="3356"/>
      <c r="C44" s="1349">
        <f t="shared" si="12"/>
        <v>38</v>
      </c>
      <c r="D44" s="1563"/>
      <c r="E44" s="2790" t="s">
        <v>244</v>
      </c>
      <c r="F44" s="2790"/>
      <c r="G44" s="2790"/>
      <c r="H44" s="2790"/>
      <c r="I44" s="2790"/>
      <c r="J44" s="2790"/>
      <c r="K44" s="2790"/>
      <c r="L44" s="1212" t="s">
        <v>154</v>
      </c>
      <c r="M44" s="1557">
        <f>'Lager-Fläche'!$L$56</f>
        <v>124.95</v>
      </c>
      <c r="N44" s="1437">
        <f>N$6/$M$6*$M$44</f>
        <v>43.732500000000002</v>
      </c>
      <c r="O44" s="1437">
        <f>O$6/$M$6*$M$44</f>
        <v>31.237500000000001</v>
      </c>
      <c r="P44" s="1437">
        <f>P$6/$M$6*$M$44</f>
        <v>24.990000000000002</v>
      </c>
      <c r="Q44" s="1437">
        <f>Q$6/$M$6*$M$44</f>
        <v>24.990000000000002</v>
      </c>
      <c r="R44" s="1439">
        <f>R$6/$M$6*$M$44</f>
        <v>0</v>
      </c>
      <c r="AG44" s="2785"/>
      <c r="AH44" s="2785"/>
      <c r="AI44" s="2785"/>
      <c r="AJ44" s="2785"/>
      <c r="AK44" s="2785"/>
      <c r="AL44" s="19"/>
      <c r="AM44" s="22"/>
      <c r="AN44" s="23"/>
      <c r="AO44" s="22"/>
      <c r="AP44" s="22"/>
      <c r="AR44" s="11"/>
    </row>
    <row r="45" spans="2:44" ht="23.95" customHeight="1" thickBot="1" x14ac:dyDescent="0.25">
      <c r="B45" s="3357"/>
      <c r="C45" s="1350">
        <f t="shared" si="12"/>
        <v>39</v>
      </c>
      <c r="D45" s="1193" t="s">
        <v>504</v>
      </c>
      <c r="E45" s="1334"/>
      <c r="F45" s="1451"/>
      <c r="G45" s="1451"/>
      <c r="H45" s="1451"/>
      <c r="I45" s="1451"/>
      <c r="J45" s="1451"/>
      <c r="K45" s="1451"/>
      <c r="L45" s="1209" t="s">
        <v>154</v>
      </c>
      <c r="M45" s="1449">
        <f t="shared" ref="M45:R45" si="14">SUM(M39:M44)</f>
        <v>763.29560777777783</v>
      </c>
      <c r="N45" s="1449">
        <f t="shared" si="14"/>
        <v>235.31836272222222</v>
      </c>
      <c r="O45" s="1449">
        <f t="shared" si="14"/>
        <v>190.82390194444446</v>
      </c>
      <c r="P45" s="1449">
        <f t="shared" si="14"/>
        <v>168.57667155555555</v>
      </c>
      <c r="Q45" s="1449">
        <f t="shared" si="14"/>
        <v>168.57667155555555</v>
      </c>
      <c r="R45" s="1452">
        <f t="shared" si="14"/>
        <v>0</v>
      </c>
      <c r="AG45" s="2785"/>
      <c r="AH45" s="2785"/>
      <c r="AI45"/>
      <c r="AJ45" s="159"/>
      <c r="AK45"/>
      <c r="AL45"/>
      <c r="AM45" s="22"/>
      <c r="AN45" s="23"/>
      <c r="AO45" s="22"/>
      <c r="AP45" s="22"/>
      <c r="AR45" s="11"/>
    </row>
    <row r="46" spans="2:44" ht="5.45" customHeight="1" thickBot="1" x14ac:dyDescent="0.25">
      <c r="B46" s="1327"/>
      <c r="C46" s="1604"/>
      <c r="D46" s="1472"/>
      <c r="E46" s="1471"/>
      <c r="F46" s="1472"/>
      <c r="G46" s="1472"/>
      <c r="H46" s="1472"/>
      <c r="I46" s="1472"/>
      <c r="J46" s="1472"/>
      <c r="K46" s="1472"/>
      <c r="L46" s="1605"/>
      <c r="M46" s="1500"/>
      <c r="N46" s="1500"/>
      <c r="O46" s="1500"/>
      <c r="P46" s="1500"/>
      <c r="Q46" s="1500"/>
      <c r="R46" s="1500"/>
      <c r="AG46" s="2785"/>
      <c r="AH46" s="2785"/>
      <c r="AI46"/>
      <c r="AJ46" s="159"/>
      <c r="AK46"/>
      <c r="AL46"/>
      <c r="AM46" s="22"/>
      <c r="AN46" s="23"/>
      <c r="AO46" s="22"/>
      <c r="AP46" s="22"/>
      <c r="AR46" s="11"/>
    </row>
    <row r="47" spans="2:44" ht="19.899999999999999" customHeight="1" x14ac:dyDescent="0.2">
      <c r="B47" s="3355" t="s">
        <v>271</v>
      </c>
      <c r="C47" s="1368">
        <f>C45+1</f>
        <v>40</v>
      </c>
      <c r="D47" s="1632" t="s">
        <v>555</v>
      </c>
      <c r="E47" s="1571"/>
      <c r="F47" s="1572"/>
      <c r="G47" s="1572"/>
      <c r="H47" s="1572"/>
      <c r="I47" s="1572"/>
      <c r="J47" s="1572"/>
      <c r="K47" s="1572"/>
      <c r="L47" s="1579" t="s">
        <v>154</v>
      </c>
      <c r="M47" s="1573"/>
      <c r="N47" s="1576"/>
      <c r="O47" s="1573"/>
      <c r="P47" s="1573"/>
      <c r="Q47" s="1573"/>
      <c r="R47" s="1574"/>
      <c r="AG47" s="2785"/>
      <c r="AH47" s="2785"/>
      <c r="AI47"/>
      <c r="AJ47" s="159"/>
      <c r="AK47"/>
      <c r="AL47"/>
      <c r="AM47" s="22"/>
      <c r="AN47" s="23"/>
      <c r="AO47" s="22"/>
      <c r="AP47" s="22"/>
      <c r="AR47" s="11"/>
    </row>
    <row r="48" spans="2:44" ht="19.899999999999999" customHeight="1" thickBot="1" x14ac:dyDescent="0.25">
      <c r="B48" s="3356"/>
      <c r="C48" s="1350">
        <f t="shared" ref="C48:C53" si="15">C47+1</f>
        <v>41</v>
      </c>
      <c r="D48" s="1193" t="s">
        <v>390</v>
      </c>
      <c r="E48" s="1334"/>
      <c r="F48" s="1451"/>
      <c r="G48" s="1451"/>
      <c r="H48" s="1451"/>
      <c r="I48" s="1535"/>
      <c r="J48" s="1535"/>
      <c r="K48" s="1535"/>
      <c r="L48" s="1379"/>
      <c r="M48" s="1313">
        <f t="shared" ref="M48:R48" si="16">M27+M31+M45</f>
        <v>1325.9350570445677</v>
      </c>
      <c r="N48" s="1577">
        <f t="shared" si="16"/>
        <v>426.86390516391975</v>
      </c>
      <c r="O48" s="1497">
        <f t="shared" si="16"/>
        <v>331.48376426114191</v>
      </c>
      <c r="P48" s="1497">
        <f t="shared" si="16"/>
        <v>283.79369380975305</v>
      </c>
      <c r="Q48" s="1497">
        <f t="shared" si="16"/>
        <v>283.79369380975305</v>
      </c>
      <c r="R48" s="1536">
        <f t="shared" si="16"/>
        <v>0</v>
      </c>
      <c r="AG48" s="27"/>
      <c r="AH48" s="27"/>
      <c r="AI48" s="27"/>
      <c r="AJ48" s="27"/>
      <c r="AK48" s="27"/>
      <c r="AL48" s="204"/>
      <c r="AM48" s="205"/>
      <c r="AN48" s="18"/>
      <c r="AO48" s="205"/>
      <c r="AP48" s="205"/>
      <c r="AR48" s="40"/>
    </row>
    <row r="49" spans="2:44" ht="22.25" hidden="1" customHeight="1" x14ac:dyDescent="0.2">
      <c r="B49" s="3356"/>
      <c r="C49" s="1349">
        <f t="shared" si="15"/>
        <v>42</v>
      </c>
      <c r="D49" s="1333" t="s">
        <v>393</v>
      </c>
      <c r="E49" s="1462"/>
      <c r="F49" s="1195"/>
      <c r="G49" s="1195"/>
      <c r="H49" s="1195"/>
      <c r="I49" s="1582"/>
      <c r="J49" s="1582"/>
      <c r="K49" s="1582"/>
      <c r="L49" s="1583" t="s">
        <v>154</v>
      </c>
      <c r="M49" s="1315">
        <f t="shared" ref="M49:R49" si="17">M47-M48</f>
        <v>-1325.9350570445677</v>
      </c>
      <c r="N49" s="1575">
        <f t="shared" si="17"/>
        <v>-426.86390516391975</v>
      </c>
      <c r="O49" s="1316">
        <f t="shared" si="17"/>
        <v>-331.48376426114191</v>
      </c>
      <c r="P49" s="1316">
        <f t="shared" si="17"/>
        <v>-283.79369380975305</v>
      </c>
      <c r="Q49" s="1316">
        <f t="shared" si="17"/>
        <v>-283.79369380975305</v>
      </c>
      <c r="R49" s="1317">
        <f t="shared" si="17"/>
        <v>0</v>
      </c>
      <c r="AG49" s="9"/>
      <c r="AH49" s="9"/>
      <c r="AI49" s="9"/>
      <c r="AJ49" s="9"/>
      <c r="AK49" s="9"/>
      <c r="AL49" s="19"/>
      <c r="AM49" s="520"/>
      <c r="AN49" s="521"/>
      <c r="AO49" s="520"/>
      <c r="AP49" s="520"/>
      <c r="AR49" s="9"/>
    </row>
    <row r="50" spans="2:44" ht="19.899999999999999" hidden="1" customHeight="1" thickBot="1" x14ac:dyDescent="0.25">
      <c r="B50" s="3356"/>
      <c r="C50" s="1350">
        <f t="shared" si="15"/>
        <v>43</v>
      </c>
      <c r="D50" s="2124" t="s">
        <v>568</v>
      </c>
      <c r="E50" s="1600"/>
      <c r="F50" s="1601"/>
      <c r="G50" s="1601"/>
      <c r="H50" s="1601"/>
      <c r="I50" s="1602"/>
      <c r="J50" s="1602"/>
      <c r="K50" s="1602"/>
      <c r="L50" s="1379" t="s">
        <v>158</v>
      </c>
      <c r="M50" s="1612">
        <f t="shared" ref="M50:R50" si="18">IF(M12=0,0,M49/M12)</f>
        <v>-0.28182901472863969</v>
      </c>
      <c r="N50" s="1854">
        <f t="shared" si="18"/>
        <v>-0.24527122325011549</v>
      </c>
      <c r="O50" s="1614">
        <f t="shared" si="18"/>
        <v>-0.27511880009224354</v>
      </c>
      <c r="P50" s="1614">
        <f t="shared" si="18"/>
        <v>-0.31438317692450762</v>
      </c>
      <c r="Q50" s="1614">
        <f t="shared" si="18"/>
        <v>-0.33122513283117772</v>
      </c>
      <c r="R50" s="1631">
        <f t="shared" si="18"/>
        <v>0</v>
      </c>
      <c r="AG50" s="9"/>
      <c r="AH50" s="9"/>
      <c r="AI50" s="9"/>
      <c r="AJ50" s="9"/>
      <c r="AK50" s="9"/>
      <c r="AL50" s="19"/>
      <c r="AM50" s="520"/>
      <c r="AN50" s="521"/>
      <c r="AO50" s="520"/>
      <c r="AP50" s="520"/>
      <c r="AR50" s="9"/>
    </row>
    <row r="51" spans="2:44" s="736" customFormat="1" ht="20.399999999999999" customHeight="1" thickBot="1" x14ac:dyDescent="0.3">
      <c r="B51" s="3356"/>
      <c r="C51" s="1623">
        <f t="shared" si="15"/>
        <v>44</v>
      </c>
      <c r="D51" s="1624" t="s">
        <v>569</v>
      </c>
      <c r="E51" s="1625"/>
      <c r="F51" s="1626"/>
      <c r="G51" s="1626"/>
      <c r="H51" s="1626"/>
      <c r="I51" s="1626"/>
      <c r="J51" s="1626"/>
      <c r="K51" s="1626"/>
      <c r="L51" s="1627" t="s">
        <v>154</v>
      </c>
      <c r="M51" s="1686">
        <f t="shared" ref="M51:R51" si="19">M17</f>
        <v>560</v>
      </c>
      <c r="N51" s="1628">
        <f>N17</f>
        <v>196</v>
      </c>
      <c r="O51" s="1629">
        <f>O17</f>
        <v>140</v>
      </c>
      <c r="P51" s="1629">
        <f t="shared" si="19"/>
        <v>112</v>
      </c>
      <c r="Q51" s="1629">
        <f t="shared" si="19"/>
        <v>112</v>
      </c>
      <c r="R51" s="1630">
        <f t="shared" si="19"/>
        <v>0</v>
      </c>
      <c r="S51" s="747"/>
      <c r="AG51" s="2785"/>
      <c r="AH51" s="2785"/>
      <c r="AI51" s="2785"/>
      <c r="AJ51" s="2785"/>
      <c r="AK51" s="2785"/>
      <c r="AL51" s="1168"/>
      <c r="AM51" s="1444"/>
      <c r="AN51" s="1445"/>
      <c r="AO51" s="1444"/>
      <c r="AP51" s="1444"/>
      <c r="AR51" s="2785"/>
    </row>
    <row r="52" spans="2:44" ht="21.6" hidden="1" customHeight="1" x14ac:dyDescent="0.2">
      <c r="B52" s="3356"/>
      <c r="C52" s="1349">
        <f t="shared" si="15"/>
        <v>45</v>
      </c>
      <c r="D52" s="1185" t="s">
        <v>535</v>
      </c>
      <c r="E52" s="1318"/>
      <c r="F52" s="1182"/>
      <c r="G52" s="1182"/>
      <c r="H52" s="1182"/>
      <c r="I52" s="1621"/>
      <c r="J52" s="1621"/>
      <c r="K52" s="1621"/>
      <c r="L52" s="1213" t="s">
        <v>154</v>
      </c>
      <c r="M52" s="1313">
        <f t="shared" ref="M52:R52" si="20">M49+M51</f>
        <v>-765.93505704456766</v>
      </c>
      <c r="N52" s="1622">
        <f t="shared" si="20"/>
        <v>-230.86390516391975</v>
      </c>
      <c r="O52" s="1537">
        <f t="shared" si="20"/>
        <v>-191.48376426114191</v>
      </c>
      <c r="P52" s="1537">
        <f t="shared" si="20"/>
        <v>-171.79369380975305</v>
      </c>
      <c r="Q52" s="1537">
        <f t="shared" si="20"/>
        <v>-171.79369380975305</v>
      </c>
      <c r="R52" s="1538">
        <f t="shared" si="20"/>
        <v>0</v>
      </c>
      <c r="AG52" s="9"/>
      <c r="AH52" s="9"/>
      <c r="AI52" s="9"/>
      <c r="AJ52" s="9"/>
      <c r="AK52" s="9"/>
      <c r="AL52" s="19"/>
      <c r="AM52" s="520"/>
      <c r="AN52" s="521"/>
      <c r="AO52" s="520"/>
      <c r="AP52" s="520"/>
      <c r="AR52" s="9"/>
    </row>
    <row r="53" spans="2:44" ht="18.7" hidden="1" customHeight="1" thickBot="1" x14ac:dyDescent="0.25">
      <c r="B53" s="3357"/>
      <c r="C53" s="1350">
        <f t="shared" si="15"/>
        <v>46</v>
      </c>
      <c r="D53" s="1853" t="s">
        <v>570</v>
      </c>
      <c r="E53" s="1334"/>
      <c r="F53" s="1451"/>
      <c r="G53" s="1451"/>
      <c r="H53" s="1451"/>
      <c r="I53" s="1535"/>
      <c r="J53" s="1535"/>
      <c r="K53" s="1535"/>
      <c r="L53" s="1379" t="s">
        <v>158</v>
      </c>
      <c r="M53" s="1612">
        <f t="shared" ref="M53:R53" si="21">IF(M12=0,0,M52/M12)</f>
        <v>-0.16280037346183487</v>
      </c>
      <c r="N53" s="1854">
        <f t="shared" si="21"/>
        <v>-0.13265181651306171</v>
      </c>
      <c r="O53" s="1614">
        <f t="shared" si="21"/>
        <v>-0.15892417409369597</v>
      </c>
      <c r="P53" s="1614">
        <f t="shared" si="21"/>
        <v>-0.19031094916334668</v>
      </c>
      <c r="Q53" s="1614">
        <f t="shared" si="21"/>
        <v>-0.20050617858281169</v>
      </c>
      <c r="R53" s="1631">
        <f t="shared" si="21"/>
        <v>0</v>
      </c>
      <c r="AG53" s="9"/>
      <c r="AH53" s="9"/>
      <c r="AI53" s="9"/>
      <c r="AJ53" s="9"/>
      <c r="AK53" s="9"/>
      <c r="AL53" s="19"/>
      <c r="AM53" s="520"/>
      <c r="AN53" s="521"/>
      <c r="AO53" s="520"/>
      <c r="AP53" s="520"/>
      <c r="AR53" s="9"/>
    </row>
    <row r="54" spans="2:44" s="291" customFormat="1" ht="5.45" customHeight="1" x14ac:dyDescent="0.2">
      <c r="B54" s="1203"/>
      <c r="C54" s="1450"/>
      <c r="D54" s="1206"/>
      <c r="E54" s="373"/>
      <c r="F54" s="373"/>
      <c r="G54" s="373"/>
      <c r="H54" s="373"/>
      <c r="I54" s="1177"/>
      <c r="J54" s="1177"/>
      <c r="K54" s="1177"/>
      <c r="L54" s="132"/>
      <c r="M54" s="1307"/>
      <c r="N54" s="1178"/>
      <c r="O54" s="1178"/>
      <c r="P54" s="1178"/>
      <c r="Q54" s="1178"/>
      <c r="R54" s="1178"/>
      <c r="S54" s="247"/>
      <c r="AG54" s="373"/>
      <c r="AH54" s="373"/>
      <c r="AI54" s="373"/>
      <c r="AJ54" s="373"/>
      <c r="AK54" s="373"/>
      <c r="AL54" s="376"/>
      <c r="AM54" s="1176"/>
      <c r="AN54" s="1176"/>
      <c r="AO54" s="1176"/>
      <c r="AP54" s="1176"/>
      <c r="AR54" s="373"/>
    </row>
    <row r="55" spans="2:44" s="371" customFormat="1" ht="23.45" customHeight="1" x14ac:dyDescent="0.2">
      <c r="B55" s="3351"/>
      <c r="C55" s="1861">
        <f>C53+1</f>
        <v>47</v>
      </c>
      <c r="D55" s="2113" t="s">
        <v>573</v>
      </c>
      <c r="E55" s="1378"/>
      <c r="F55" s="2150"/>
      <c r="G55" s="2150"/>
      <c r="H55" s="2150"/>
      <c r="I55" s="2151"/>
      <c r="J55" s="2151"/>
      <c r="K55" s="2151"/>
      <c r="L55" s="1332" t="s">
        <v>154</v>
      </c>
      <c r="M55" s="1494">
        <f t="shared" ref="M55:R55" si="22">M48-M51</f>
        <v>765.93505704456766</v>
      </c>
      <c r="N55" s="1494">
        <f t="shared" si="22"/>
        <v>230.86390516391975</v>
      </c>
      <c r="O55" s="1494">
        <f t="shared" si="22"/>
        <v>191.48376426114191</v>
      </c>
      <c r="P55" s="1494">
        <f t="shared" si="22"/>
        <v>171.79369380975305</v>
      </c>
      <c r="Q55" s="1494">
        <f t="shared" si="22"/>
        <v>171.79369380975305</v>
      </c>
      <c r="R55" s="1495">
        <f t="shared" si="22"/>
        <v>0</v>
      </c>
      <c r="S55" s="246"/>
      <c r="AG55" s="373"/>
      <c r="AH55" s="373"/>
      <c r="AI55" s="373"/>
      <c r="AJ55" s="373"/>
      <c r="AK55" s="1177"/>
      <c r="AL55" s="1177"/>
      <c r="AM55" s="1331"/>
      <c r="AN55" s="1331"/>
      <c r="AO55" s="1331"/>
      <c r="AP55" s="1331"/>
      <c r="AR55" s="372"/>
    </row>
    <row r="56" spans="2:44" s="371" customFormat="1" ht="19.2" customHeight="1" x14ac:dyDescent="0.2">
      <c r="B56" s="3352"/>
      <c r="C56" s="1862">
        <f t="shared" ref="C56:C66" si="23">C55+1</f>
        <v>48</v>
      </c>
      <c r="D56" s="291"/>
      <c r="E56" s="1185"/>
      <c r="F56" s="1183"/>
      <c r="G56" s="1183"/>
      <c r="H56" s="1183"/>
      <c r="I56" s="1184"/>
      <c r="J56" s="1318"/>
      <c r="K56" s="1864"/>
      <c r="L56" s="1370" t="s">
        <v>101</v>
      </c>
      <c r="M56" s="1611">
        <f t="shared" ref="M56:R56" si="24">IF(M10=0,0,M$55/M10)</f>
        <v>1.8022001342225122</v>
      </c>
      <c r="N56" s="1559">
        <f t="shared" si="24"/>
        <v>1.5520262532028222</v>
      </c>
      <c r="O56" s="1559">
        <f t="shared" si="24"/>
        <v>1.8022001342225122</v>
      </c>
      <c r="P56" s="1559">
        <f t="shared" si="24"/>
        <v>2.0211022801147416</v>
      </c>
      <c r="Q56" s="1559">
        <f t="shared" si="24"/>
        <v>2.0211022801147416</v>
      </c>
      <c r="R56" s="1560">
        <f t="shared" si="24"/>
        <v>0</v>
      </c>
      <c r="S56" s="246"/>
      <c r="AG56" s="373"/>
      <c r="AH56" s="373"/>
      <c r="AI56" s="373"/>
      <c r="AJ56" s="373"/>
      <c r="AK56" s="1177"/>
      <c r="AL56" s="1177"/>
      <c r="AM56" s="1331"/>
      <c r="AN56" s="1331"/>
      <c r="AO56" s="1331"/>
      <c r="AP56" s="1331"/>
      <c r="AR56" s="372"/>
    </row>
    <row r="57" spans="2:44" s="371" customFormat="1" ht="18" customHeight="1" x14ac:dyDescent="0.2">
      <c r="B57" s="3352"/>
      <c r="C57" s="1862">
        <f t="shared" si="23"/>
        <v>49</v>
      </c>
      <c r="D57" s="1688" t="s">
        <v>213</v>
      </c>
      <c r="E57" s="291"/>
      <c r="F57" s="1588"/>
      <c r="G57" s="1588"/>
      <c r="H57" s="1588"/>
      <c r="I57" s="1477"/>
      <c r="J57" s="1477"/>
      <c r="K57" s="1477"/>
      <c r="L57" s="1370" t="s">
        <v>464</v>
      </c>
      <c r="M57" s="2173">
        <f>IF($M$9=0,0,M$55/$M$9)</f>
        <v>10.012222967902845</v>
      </c>
      <c r="N57" s="2174">
        <f>IF($N$9=0,0,N$55/$N$9)</f>
        <v>8.6223680733490102</v>
      </c>
      <c r="O57" s="2174">
        <f>IF($O$9=0,0,O$55/$O$9)</f>
        <v>10.012222967902845</v>
      </c>
      <c r="P57" s="2174">
        <f>IF($P$9=0,0,P$55/$P$9)</f>
        <v>11.228346000637455</v>
      </c>
      <c r="Q57" s="2174">
        <f>IF($Q$9=0,0,Q$55/$Q$9)</f>
        <v>11.228346000637455</v>
      </c>
      <c r="R57" s="2175">
        <f>IF($R$9=0,0,R$55/$R$9)</f>
        <v>0</v>
      </c>
      <c r="S57" s="246"/>
      <c r="AG57" s="373"/>
      <c r="AH57" s="373"/>
      <c r="AI57" s="373"/>
      <c r="AJ57" s="373"/>
      <c r="AK57" s="1177"/>
      <c r="AL57" s="1177"/>
      <c r="AM57" s="1331"/>
      <c r="AN57" s="1331"/>
      <c r="AO57" s="1331"/>
      <c r="AP57" s="1331"/>
      <c r="AR57" s="372"/>
    </row>
    <row r="58" spans="2:44" s="371" customFormat="1" ht="18" customHeight="1" x14ac:dyDescent="0.2">
      <c r="B58" s="3352"/>
      <c r="C58" s="1862">
        <f t="shared" si="23"/>
        <v>50</v>
      </c>
      <c r="D58" s="1471" t="s">
        <v>391</v>
      </c>
      <c r="E58" s="1501" t="s">
        <v>255</v>
      </c>
      <c r="F58" s="1588"/>
      <c r="G58" s="1588"/>
      <c r="H58" s="1588"/>
      <c r="I58" s="1477"/>
      <c r="J58" s="1477"/>
      <c r="K58" s="1477"/>
      <c r="L58" s="1370" t="s">
        <v>374</v>
      </c>
      <c r="M58" s="1611">
        <f t="shared" ref="M58:R59" si="25">IF(M11=0,0,M$55/M11)</f>
        <v>0</v>
      </c>
      <c r="N58" s="1584">
        <f t="shared" si="25"/>
        <v>0</v>
      </c>
      <c r="O58" s="1584">
        <f t="shared" si="25"/>
        <v>0</v>
      </c>
      <c r="P58" s="1584">
        <f t="shared" si="25"/>
        <v>0</v>
      </c>
      <c r="Q58" s="1584">
        <f t="shared" si="25"/>
        <v>0</v>
      </c>
      <c r="R58" s="1585">
        <f t="shared" si="25"/>
        <v>0</v>
      </c>
      <c r="S58" s="246"/>
      <c r="AG58" s="373"/>
      <c r="AH58" s="373"/>
      <c r="AI58" s="373"/>
      <c r="AJ58" s="373"/>
      <c r="AK58" s="1177"/>
      <c r="AL58" s="1177"/>
      <c r="AM58" s="1331"/>
      <c r="AN58" s="1331"/>
      <c r="AO58" s="1331"/>
      <c r="AP58" s="1331"/>
      <c r="AR58" s="372"/>
    </row>
    <row r="59" spans="2:44" s="371" customFormat="1" ht="16.5" hidden="1" customHeight="1" x14ac:dyDescent="0.2">
      <c r="B59" s="3352"/>
      <c r="C59" s="1862">
        <f t="shared" si="23"/>
        <v>51</v>
      </c>
      <c r="D59" s="1589"/>
      <c r="E59" s="1476"/>
      <c r="F59" s="1476"/>
      <c r="G59" s="1476"/>
      <c r="H59" s="1476"/>
      <c r="I59" s="1590"/>
      <c r="J59" s="1590"/>
      <c r="K59" s="1590"/>
      <c r="L59" s="1370" t="s">
        <v>315</v>
      </c>
      <c r="M59" s="1304">
        <f t="shared" si="25"/>
        <v>0.16280037346183487</v>
      </c>
      <c r="N59" s="1586">
        <f t="shared" si="25"/>
        <v>0.13265181651306171</v>
      </c>
      <c r="O59" s="1586">
        <f t="shared" si="25"/>
        <v>0.15892417409369597</v>
      </c>
      <c r="P59" s="1586">
        <f t="shared" si="25"/>
        <v>0.19031094916334668</v>
      </c>
      <c r="Q59" s="1586">
        <f t="shared" si="25"/>
        <v>0.20050617858281169</v>
      </c>
      <c r="R59" s="1587">
        <f t="shared" si="25"/>
        <v>0</v>
      </c>
      <c r="S59" s="246"/>
      <c r="AG59" s="375"/>
      <c r="AH59" s="375"/>
      <c r="AI59" s="373"/>
      <c r="AJ59" s="373"/>
      <c r="AK59" s="377"/>
      <c r="AL59" s="376"/>
      <c r="AM59" s="378"/>
      <c r="AN59" s="378"/>
      <c r="AO59" s="378"/>
      <c r="AP59" s="378"/>
      <c r="AR59" s="372"/>
    </row>
    <row r="60" spans="2:44" s="371" customFormat="1" ht="16.5" hidden="1" customHeight="1" x14ac:dyDescent="0.2">
      <c r="B60" s="3352"/>
      <c r="C60" s="1862">
        <f>C59+1</f>
        <v>52</v>
      </c>
      <c r="D60" s="1589"/>
      <c r="E60" s="1476" t="s">
        <v>571</v>
      </c>
      <c r="F60" s="2125">
        <v>36</v>
      </c>
      <c r="G60" s="1476" t="s">
        <v>572</v>
      </c>
      <c r="H60" s="1476"/>
      <c r="I60" s="1590"/>
      <c r="J60" s="1590"/>
      <c r="K60" s="1590"/>
      <c r="L60" s="1370" t="s">
        <v>583</v>
      </c>
      <c r="M60" s="1304">
        <f t="shared" ref="M60:R60" si="26">M59/$F$60*10</f>
        <v>4.5222325961620798E-2</v>
      </c>
      <c r="N60" s="1586">
        <f t="shared" si="26"/>
        <v>3.6847726809183808E-2</v>
      </c>
      <c r="O60" s="1586">
        <f t="shared" si="26"/>
        <v>4.4145603914915552E-2</v>
      </c>
      <c r="P60" s="1586">
        <f t="shared" si="26"/>
        <v>5.2864152545374077E-2</v>
      </c>
      <c r="Q60" s="1586">
        <f t="shared" si="26"/>
        <v>5.5696160717447693E-2</v>
      </c>
      <c r="R60" s="1587">
        <f t="shared" si="26"/>
        <v>0</v>
      </c>
      <c r="S60" s="246"/>
      <c r="AG60" s="375"/>
      <c r="AH60" s="375"/>
      <c r="AI60" s="373"/>
      <c r="AJ60" s="373"/>
      <c r="AK60" s="377"/>
      <c r="AL60" s="376"/>
      <c r="AM60" s="378"/>
      <c r="AN60" s="378"/>
      <c r="AO60" s="378"/>
      <c r="AP60" s="378"/>
      <c r="AR60" s="372"/>
    </row>
    <row r="61" spans="2:44" s="371" customFormat="1" ht="16.5" customHeight="1" x14ac:dyDescent="0.2">
      <c r="B61" s="3352"/>
      <c r="C61" s="1862"/>
      <c r="D61" s="1589"/>
      <c r="E61" s="1476"/>
      <c r="F61" s="1476"/>
      <c r="G61" s="1476"/>
      <c r="H61" s="1476"/>
      <c r="I61" s="1590"/>
      <c r="J61" s="1590"/>
      <c r="K61" s="1590"/>
      <c r="L61" s="2740" t="s">
        <v>158</v>
      </c>
      <c r="M61" s="1304">
        <f>IF(M12=0,0,M55/M12)</f>
        <v>0.16280037346183487</v>
      </c>
      <c r="N61" s="1586">
        <f t="shared" ref="N61:R61" si="27">IF(N12=0,0,N55/N12)</f>
        <v>0.13265181651306171</v>
      </c>
      <c r="O61" s="1586">
        <f t="shared" si="27"/>
        <v>0.15892417409369597</v>
      </c>
      <c r="P61" s="1586">
        <f t="shared" si="27"/>
        <v>0.19031094916334668</v>
      </c>
      <c r="Q61" s="1586">
        <f t="shared" si="27"/>
        <v>0.20050617858281169</v>
      </c>
      <c r="R61" s="1587">
        <f t="shared" si="27"/>
        <v>0</v>
      </c>
      <c r="S61" s="246"/>
      <c r="AG61" s="375"/>
      <c r="AH61" s="375"/>
      <c r="AI61" s="373"/>
      <c r="AJ61" s="373"/>
      <c r="AK61" s="377"/>
      <c r="AL61" s="376"/>
      <c r="AM61" s="378"/>
      <c r="AN61" s="378"/>
      <c r="AO61" s="378"/>
      <c r="AP61" s="378"/>
      <c r="AR61" s="372"/>
    </row>
    <row r="62" spans="2:44" s="371" customFormat="1" ht="16.5" customHeight="1" x14ac:dyDescent="0.2">
      <c r="B62" s="3352"/>
      <c r="C62" s="1860">
        <f>C60+1</f>
        <v>53</v>
      </c>
      <c r="D62" s="1591"/>
      <c r="E62" s="1479"/>
      <c r="F62" s="1592"/>
      <c r="G62" s="1592"/>
      <c r="H62" s="1592"/>
      <c r="I62" s="1593"/>
      <c r="J62" s="1593"/>
      <c r="K62" s="1593"/>
      <c r="L62" s="1482" t="s">
        <v>159</v>
      </c>
      <c r="M62" s="1855">
        <f t="shared" ref="M62:R62" si="28">IF(M13=0,0,M$55/M13)</f>
        <v>9.7680224077100933E-2</v>
      </c>
      <c r="N62" s="1856">
        <f t="shared" si="28"/>
        <v>7.9591089907837018E-2</v>
      </c>
      <c r="O62" s="1856">
        <f t="shared" si="28"/>
        <v>9.535450445621757E-2</v>
      </c>
      <c r="P62" s="1856">
        <f t="shared" si="28"/>
        <v>0.114186569498008</v>
      </c>
      <c r="Q62" s="1856">
        <f t="shared" si="28"/>
        <v>0.12030370714968701</v>
      </c>
      <c r="R62" s="1857">
        <f t="shared" si="28"/>
        <v>0</v>
      </c>
      <c r="S62" s="246"/>
      <c r="AG62" s="375"/>
      <c r="AH62" s="375"/>
      <c r="AI62" s="373"/>
      <c r="AJ62" s="373"/>
      <c r="AK62" s="377"/>
      <c r="AL62" s="376"/>
      <c r="AM62" s="378"/>
      <c r="AN62" s="378"/>
      <c r="AO62" s="378"/>
      <c r="AP62" s="378"/>
      <c r="AR62" s="372"/>
    </row>
    <row r="63" spans="2:44" ht="22.6" customHeight="1" x14ac:dyDescent="0.2">
      <c r="B63" s="3352"/>
      <c r="C63" s="1349">
        <f t="shared" si="23"/>
        <v>54</v>
      </c>
      <c r="D63" s="2141" t="s">
        <v>598</v>
      </c>
      <c r="E63" s="1484"/>
      <c r="F63" s="1184"/>
      <c r="G63" s="1184"/>
      <c r="H63" s="1184"/>
      <c r="I63" s="1184"/>
      <c r="J63" s="1184"/>
      <c r="K63" s="1184"/>
      <c r="L63" s="1208" t="s">
        <v>154</v>
      </c>
      <c r="M63" s="1313">
        <f t="shared" ref="M63:R63" si="29">M55-M40</f>
        <v>765.93505704456766</v>
      </c>
      <c r="N63" s="1313">
        <f t="shared" si="29"/>
        <v>230.86390516391975</v>
      </c>
      <c r="O63" s="1313">
        <f t="shared" si="29"/>
        <v>191.48376426114191</v>
      </c>
      <c r="P63" s="1313">
        <f t="shared" si="29"/>
        <v>171.79369380975305</v>
      </c>
      <c r="Q63" s="1313">
        <f t="shared" si="29"/>
        <v>171.79369380975305</v>
      </c>
      <c r="R63" s="1320">
        <f t="shared" si="29"/>
        <v>0</v>
      </c>
      <c r="AG63" s="2785"/>
      <c r="AH63" s="2785"/>
      <c r="AI63" s="2785"/>
      <c r="AJ63" s="2785"/>
      <c r="AK63" s="2787"/>
      <c r="AL63" s="19"/>
      <c r="AM63" s="22"/>
      <c r="AN63" s="23"/>
      <c r="AO63" s="22"/>
      <c r="AP63" s="22"/>
      <c r="AR63" s="12"/>
    </row>
    <row r="64" spans="2:44" ht="22.6" customHeight="1" x14ac:dyDescent="0.2">
      <c r="B64" s="3352"/>
      <c r="C64" s="1349">
        <f t="shared" si="23"/>
        <v>55</v>
      </c>
      <c r="D64" s="2141"/>
      <c r="E64" s="1484"/>
      <c r="F64" s="1184"/>
      <c r="G64" s="1184"/>
      <c r="H64" s="1184"/>
      <c r="I64" s="1184"/>
      <c r="J64" s="1184"/>
      <c r="K64" s="1184"/>
      <c r="L64" s="1370" t="s">
        <v>464</v>
      </c>
      <c r="M64" s="2173">
        <f>IF($M$9=0,0,M$63/$M$9)</f>
        <v>10.012222967902845</v>
      </c>
      <c r="N64" s="2174">
        <f>IF($N$9=0,0,N$63/$N$9)</f>
        <v>8.6223680733490102</v>
      </c>
      <c r="O64" s="2174">
        <f>IF($O$9=0,0,O$63/$O$9)</f>
        <v>10.012222967902845</v>
      </c>
      <c r="P64" s="2174">
        <f>IF($P$9=0,0,P$63/$P$9)</f>
        <v>11.228346000637455</v>
      </c>
      <c r="Q64" s="2174">
        <f>IF($Q$9=0,0,Q$63/$Q$9)</f>
        <v>11.228346000637455</v>
      </c>
      <c r="R64" s="2175">
        <f>IF($R$9=0,0,R$63/$R$9)</f>
        <v>0</v>
      </c>
      <c r="AG64" s="2785"/>
      <c r="AH64" s="2785"/>
      <c r="AI64" s="2785"/>
      <c r="AJ64" s="2785"/>
      <c r="AK64" s="2787"/>
      <c r="AL64" s="19"/>
      <c r="AM64" s="22"/>
      <c r="AN64" s="23"/>
      <c r="AO64" s="22"/>
      <c r="AP64" s="22"/>
      <c r="AR64" s="12"/>
    </row>
    <row r="65" spans="2:44" ht="18.7" customHeight="1" x14ac:dyDescent="0.2">
      <c r="B65" s="3352"/>
      <c r="C65" s="1349">
        <f>C64+1</f>
        <v>56</v>
      </c>
      <c r="D65" s="1185"/>
      <c r="E65" s="1318"/>
      <c r="F65" s="1184"/>
      <c r="G65" s="1184"/>
      <c r="H65" s="1184"/>
      <c r="I65" s="1859"/>
      <c r="J65" s="568"/>
      <c r="K65" s="568"/>
      <c r="L65" s="1214" t="s">
        <v>158</v>
      </c>
      <c r="M65" s="1611">
        <f t="shared" ref="M65:R66" si="30">IF(M12=0,0,M$63/M12)</f>
        <v>0.16280037346183487</v>
      </c>
      <c r="N65" s="1615">
        <f t="shared" si="30"/>
        <v>0.13265181651306171</v>
      </c>
      <c r="O65" s="1615">
        <f t="shared" si="30"/>
        <v>0.15892417409369597</v>
      </c>
      <c r="P65" s="1615">
        <f t="shared" si="30"/>
        <v>0.19031094916334668</v>
      </c>
      <c r="Q65" s="1615">
        <f t="shared" si="30"/>
        <v>0.20050617858281169</v>
      </c>
      <c r="R65" s="1618">
        <f t="shared" si="30"/>
        <v>0</v>
      </c>
      <c r="AG65" s="104"/>
      <c r="AH65" s="104"/>
      <c r="AI65" s="104"/>
      <c r="AJ65" s="104"/>
      <c r="AK65" s="239"/>
      <c r="AL65" s="19"/>
      <c r="AM65" s="240"/>
      <c r="AN65" s="241"/>
      <c r="AO65" s="240"/>
      <c r="AP65" s="240"/>
      <c r="AR65" s="12"/>
    </row>
    <row r="66" spans="2:44" s="371" customFormat="1" ht="16.5" customHeight="1" thickBot="1" x14ac:dyDescent="0.25">
      <c r="B66" s="3352"/>
      <c r="C66" s="1372">
        <f t="shared" si="23"/>
        <v>57</v>
      </c>
      <c r="D66" s="570"/>
      <c r="E66" s="2142" t="s">
        <v>392</v>
      </c>
      <c r="F66" s="379"/>
      <c r="G66" s="379"/>
      <c r="H66" s="379"/>
      <c r="I66" s="569"/>
      <c r="J66" s="569"/>
      <c r="K66" s="569"/>
      <c r="L66" s="1216" t="s">
        <v>159</v>
      </c>
      <c r="M66" s="1616">
        <f t="shared" si="30"/>
        <v>9.7680224077100933E-2</v>
      </c>
      <c r="N66" s="1617">
        <f t="shared" si="30"/>
        <v>7.9591089907837018E-2</v>
      </c>
      <c r="O66" s="1617">
        <f t="shared" si="30"/>
        <v>9.535450445621757E-2</v>
      </c>
      <c r="P66" s="1617">
        <f t="shared" si="30"/>
        <v>0.114186569498008</v>
      </c>
      <c r="Q66" s="1617">
        <f t="shared" si="30"/>
        <v>0.12030370714968701</v>
      </c>
      <c r="R66" s="1619">
        <f t="shared" si="30"/>
        <v>0</v>
      </c>
      <c r="S66" s="246"/>
      <c r="AG66" s="132"/>
      <c r="AH66" s="132"/>
      <c r="AI66" s="132"/>
      <c r="AJ66" s="132"/>
      <c r="AK66" s="377"/>
      <c r="AL66" s="376"/>
      <c r="AM66" s="378"/>
      <c r="AN66" s="378"/>
      <c r="AO66" s="378"/>
      <c r="AP66" s="378"/>
      <c r="AR66" s="372"/>
    </row>
    <row r="67" spans="2:44" s="371" customFormat="1" ht="6.65" customHeight="1" thickBot="1" x14ac:dyDescent="0.25">
      <c r="B67" s="3353"/>
      <c r="C67" s="1352"/>
      <c r="D67" s="1608"/>
      <c r="E67" s="1858"/>
      <c r="F67" s="1325"/>
      <c r="G67" s="1325"/>
      <c r="H67" s="1325"/>
      <c r="I67" s="1609"/>
      <c r="J67" s="1609"/>
      <c r="K67" s="1609"/>
      <c r="L67" s="1610"/>
      <c r="M67" s="1613"/>
      <c r="N67" s="1607"/>
      <c r="O67" s="1607"/>
      <c r="P67" s="1607"/>
      <c r="Q67" s="1607"/>
      <c r="R67" s="1607"/>
      <c r="S67" s="246"/>
      <c r="AG67" s="132"/>
      <c r="AH67" s="132"/>
      <c r="AI67" s="132"/>
      <c r="AJ67" s="132"/>
      <c r="AK67" s="377"/>
      <c r="AL67" s="376"/>
      <c r="AM67" s="378"/>
      <c r="AN67" s="378"/>
      <c r="AO67" s="378"/>
      <c r="AP67" s="378"/>
      <c r="AR67" s="372"/>
    </row>
    <row r="68" spans="2:44" ht="16.5" customHeight="1" x14ac:dyDescent="0.2">
      <c r="B68" s="3352"/>
      <c r="C68" s="1448">
        <f>C66+1</f>
        <v>58</v>
      </c>
      <c r="D68" s="1333" t="s">
        <v>395</v>
      </c>
      <c r="E68" s="1606"/>
      <c r="F68" s="1196"/>
      <c r="G68" s="1196"/>
      <c r="H68" s="1196"/>
      <c r="I68" s="1196"/>
      <c r="J68" s="1196"/>
      <c r="K68" s="1196"/>
      <c r="L68" s="1215" t="s">
        <v>154</v>
      </c>
      <c r="M68" s="1316">
        <f t="shared" ref="M68:R68" si="31">M19+M20+M21+M22+M23+M31</f>
        <v>509.19085496438998</v>
      </c>
      <c r="N68" s="1316">
        <f t="shared" si="31"/>
        <v>178.1833938660975</v>
      </c>
      <c r="O68" s="1316">
        <f t="shared" si="31"/>
        <v>127.2977137410975</v>
      </c>
      <c r="P68" s="1316">
        <f t="shared" si="31"/>
        <v>101.8548736785975</v>
      </c>
      <c r="Q68" s="1316">
        <f t="shared" si="31"/>
        <v>101.8548736785975</v>
      </c>
      <c r="R68" s="1317">
        <f t="shared" si="31"/>
        <v>0</v>
      </c>
      <c r="AG68" s="2782"/>
      <c r="AH68" s="2782"/>
      <c r="AI68" s="2782"/>
      <c r="AJ68" s="2782"/>
      <c r="AK68" s="2782"/>
      <c r="AL68" s="19"/>
      <c r="AM68" s="205"/>
      <c r="AN68" s="18"/>
      <c r="AO68" s="205"/>
      <c r="AP68" s="205"/>
      <c r="AR68" s="234"/>
    </row>
    <row r="69" spans="2:44" ht="16.5" customHeight="1" x14ac:dyDescent="0.2">
      <c r="B69" s="3352"/>
      <c r="C69" s="1372">
        <f>C68+1</f>
        <v>59</v>
      </c>
      <c r="D69" s="1594"/>
      <c r="E69" s="1595"/>
      <c r="F69" s="1596"/>
      <c r="G69" s="1596"/>
      <c r="H69" s="1596"/>
      <c r="I69" s="1596"/>
      <c r="J69" s="1596"/>
      <c r="K69" s="1596"/>
      <c r="L69" s="1558" t="s">
        <v>158</v>
      </c>
      <c r="M69" s="1581">
        <f t="shared" ref="M69:R69" si="32">IF(M68=0,0,M68/M12)</f>
        <v>0.10822909930695361</v>
      </c>
      <c r="N69" s="1487">
        <f t="shared" si="32"/>
        <v>0.10238218422242189</v>
      </c>
      <c r="O69" s="1487">
        <f t="shared" si="32"/>
        <v>0.10565221599012138</v>
      </c>
      <c r="P69" s="1487">
        <f t="shared" si="32"/>
        <v>0.1128335811217431</v>
      </c>
      <c r="Q69" s="1487">
        <f t="shared" si="32"/>
        <v>0.11887823725326506</v>
      </c>
      <c r="R69" s="1488">
        <f t="shared" si="32"/>
        <v>0</v>
      </c>
      <c r="AG69" s="2782"/>
      <c r="AH69" s="2782"/>
      <c r="AI69" s="2782"/>
      <c r="AJ69" s="2782"/>
      <c r="AK69" s="2782"/>
      <c r="AL69" s="19"/>
      <c r="AM69" s="205"/>
      <c r="AN69" s="18"/>
      <c r="AO69" s="205"/>
      <c r="AP69" s="205"/>
      <c r="AR69" s="234"/>
    </row>
    <row r="70" spans="2:44" ht="18" customHeight="1" x14ac:dyDescent="0.2">
      <c r="B70" s="3352"/>
      <c r="C70" s="1373">
        <f>C69+1</f>
        <v>60</v>
      </c>
      <c r="D70" s="1375" t="s">
        <v>503</v>
      </c>
      <c r="E70" s="1483"/>
      <c r="F70" s="1185"/>
      <c r="G70" s="1185"/>
      <c r="H70" s="1185"/>
      <c r="I70" s="1376"/>
      <c r="J70" s="1483"/>
      <c r="K70" s="1483"/>
      <c r="L70" s="1738" t="s">
        <v>154</v>
      </c>
      <c r="M70" s="1537">
        <f t="shared" ref="M70:R70" si="33">M24+M25+M26+M41+M39</f>
        <v>482.97045208017778</v>
      </c>
      <c r="N70" s="1313">
        <f t="shared" si="33"/>
        <v>131.8596987978222</v>
      </c>
      <c r="O70" s="1313">
        <f t="shared" si="33"/>
        <v>120.74261302004444</v>
      </c>
      <c r="P70" s="1313">
        <f t="shared" si="33"/>
        <v>115.18407013115555</v>
      </c>
      <c r="Q70" s="1313">
        <f t="shared" si="33"/>
        <v>115.18407013115555</v>
      </c>
      <c r="R70" s="1320">
        <f t="shared" si="33"/>
        <v>0</v>
      </c>
      <c r="AG70" s="2782"/>
      <c r="AH70" s="2782"/>
      <c r="AI70" s="2782"/>
      <c r="AJ70" s="2782"/>
      <c r="AK70" s="2782"/>
      <c r="AL70" s="19"/>
      <c r="AM70" s="205"/>
      <c r="AN70" s="18"/>
      <c r="AO70" s="205"/>
      <c r="AP70" s="205"/>
      <c r="AR70" s="234"/>
    </row>
    <row r="71" spans="2:44" ht="14.3" customHeight="1" thickBot="1" x14ac:dyDescent="0.25">
      <c r="B71" s="3354"/>
      <c r="C71" s="1350">
        <f>C70+1</f>
        <v>61</v>
      </c>
      <c r="D71" s="1597"/>
      <c r="E71" s="1598" t="s">
        <v>493</v>
      </c>
      <c r="F71" s="1598"/>
      <c r="G71" s="1598"/>
      <c r="H71" s="1598"/>
      <c r="I71" s="1598"/>
      <c r="J71" s="1598"/>
      <c r="K71" s="1598"/>
      <c r="L71" s="1491" t="s">
        <v>158</v>
      </c>
      <c r="M71" s="1612">
        <f t="shared" ref="M71:R71" si="34">IF(M70=0,0,M70/M12)</f>
        <v>0.10265592264842506</v>
      </c>
      <c r="N71" s="1614">
        <f t="shared" si="34"/>
        <v>7.5765107403761953E-2</v>
      </c>
      <c r="O71" s="1614">
        <f t="shared" si="34"/>
        <v>0.10021173401393875</v>
      </c>
      <c r="P71" s="1614">
        <f t="shared" si="34"/>
        <v>0.12759950164080597</v>
      </c>
      <c r="Q71" s="1614">
        <f t="shared" si="34"/>
        <v>0.13443518922870629</v>
      </c>
      <c r="R71" s="1631">
        <f t="shared" si="34"/>
        <v>0</v>
      </c>
      <c r="AG71" s="2785"/>
      <c r="AH71" s="2785"/>
      <c r="AI71" s="2785"/>
      <c r="AJ71" s="2785"/>
      <c r="AK71" s="2785"/>
      <c r="AL71" s="19"/>
      <c r="AM71" s="22"/>
      <c r="AN71" s="23"/>
      <c r="AO71" s="22"/>
      <c r="AP71" s="22"/>
      <c r="AR71" s="11"/>
    </row>
    <row r="72" spans="2:44" ht="13.6" customHeight="1" x14ac:dyDescent="0.2">
      <c r="B72" s="1207"/>
      <c r="C72" s="1312"/>
      <c r="E72" s="1312"/>
      <c r="F72" s="1312"/>
      <c r="G72" s="1312"/>
      <c r="H72" s="1312"/>
    </row>
    <row r="73" spans="2:44" x14ac:dyDescent="0.2">
      <c r="C73" s="2110" t="s">
        <v>574</v>
      </c>
    </row>
    <row r="97" spans="5:32" x14ac:dyDescent="0.2">
      <c r="E97"/>
      <c r="F97"/>
      <c r="G97"/>
      <c r="H97"/>
      <c r="I97"/>
      <c r="J97"/>
      <c r="K97"/>
      <c r="L97" s="193"/>
      <c r="M97"/>
      <c r="N97"/>
      <c r="O97"/>
      <c r="P97"/>
      <c r="Q97"/>
      <c r="R97"/>
      <c r="T97"/>
      <c r="U97"/>
      <c r="V97"/>
      <c r="W97"/>
      <c r="X97"/>
      <c r="Y97"/>
      <c r="Z97"/>
      <c r="AA97"/>
      <c r="AB97"/>
      <c r="AC97"/>
      <c r="AD97"/>
      <c r="AE97"/>
      <c r="AF97"/>
    </row>
    <row r="98" spans="5:32" x14ac:dyDescent="0.2">
      <c r="E98"/>
      <c r="F98"/>
      <c r="G98"/>
      <c r="H98"/>
      <c r="I98"/>
      <c r="J98"/>
      <c r="K98"/>
      <c r="L98" s="193"/>
      <c r="M98"/>
      <c r="N98"/>
      <c r="O98"/>
      <c r="P98"/>
      <c r="Q98"/>
      <c r="R98"/>
      <c r="T98"/>
      <c r="U98"/>
      <c r="V98"/>
      <c r="W98"/>
      <c r="X98"/>
      <c r="Y98"/>
      <c r="Z98"/>
      <c r="AA98"/>
      <c r="AB98"/>
      <c r="AC98"/>
      <c r="AD98"/>
      <c r="AE98"/>
      <c r="AF98"/>
    </row>
  </sheetData>
  <sheetProtection sheet="1" objects="1" scenarios="1"/>
  <customSheetViews>
    <customSheetView guid="{32760361-675F-4FBF-A5CA-B0597C10371F}" scale="80" showGridLines="0" zeroValues="0" hiddenRows="1">
      <pane xSplit="13" ySplit="5" topLeftCell="N21" activePane="bottomRight" state="frozen"/>
      <selection pane="bottomRight" activeCell="S37" sqref="S37"/>
      <pageMargins left="0.5" right="0.28000000000000003" top="0.54" bottom="0.5" header="0.51181102362204722" footer="0.31496062992125984"/>
      <printOptions horizontalCentered="1"/>
      <pageSetup paperSize="9" scale="61" firstPageNumber="15" orientation="portrait" useFirstPageNumber="1" verticalDpi="300" r:id="rId1"/>
      <headerFooter alignWithMargins="0">
        <oddFooter>&amp;L&amp;12LEL Schwäbisch Gmünd (Abtlg. II)
LAZBW Aulendorf&amp;C&amp;12 21&amp;9
&amp;R&amp;12&amp;F
&amp;A</oddFooter>
      </headerFooter>
    </customSheetView>
  </customSheetViews>
  <mergeCells count="14">
    <mergeCell ref="B55:B71"/>
    <mergeCell ref="E1:I1"/>
    <mergeCell ref="B3:B5"/>
    <mergeCell ref="F3:G3"/>
    <mergeCell ref="I3:R3"/>
    <mergeCell ref="B6:B13"/>
    <mergeCell ref="B19:B27"/>
    <mergeCell ref="D19:D23"/>
    <mergeCell ref="D24:D26"/>
    <mergeCell ref="B28:B34"/>
    <mergeCell ref="D28:K28"/>
    <mergeCell ref="D32:K32"/>
    <mergeCell ref="B36:B45"/>
    <mergeCell ref="B47:B53"/>
  </mergeCells>
  <hyperlinks>
    <hyperlink ref="E1:I1" location="Inhalt!A1:A10" display="zurück zum Inhaltsverzeichnis"/>
  </hyperlinks>
  <printOptions horizontalCentered="1"/>
  <pageMargins left="0.5" right="0.28000000000000003" top="0.54" bottom="0.5" header="0.51181102362204722" footer="0.31496062992125984"/>
  <pageSetup paperSize="9" scale="61" firstPageNumber="15" orientation="portrait" useFirstPageNumber="1" verticalDpi="300" r:id="rId2"/>
  <headerFooter alignWithMargins="0">
    <oddFooter>&amp;L&amp;12LEL Schwäbisch Gmünd (Abtlg. II)
LAZBW Aulendorf&amp;C&amp;12 21&amp;9
&amp;R&amp;12&amp;F
&amp;A</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675</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1140</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80</v>
      </c>
      <c r="L5" s="359"/>
      <c r="M5" s="2935">
        <v>100</v>
      </c>
      <c r="N5" s="1687"/>
      <c r="O5" s="2935">
        <v>120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76</v>
      </c>
      <c r="L9" s="596">
        <f>IF(K7=0,0,K9/K7*100)</f>
        <v>475</v>
      </c>
      <c r="M9" s="673">
        <f>M5*(100-M6)/100</f>
        <v>95</v>
      </c>
      <c r="N9" s="674">
        <f>IF(M7=0,0,M9/M7*100)</f>
        <v>593.75</v>
      </c>
      <c r="O9" s="595">
        <f>O5*(100-O6)/100</f>
        <v>114</v>
      </c>
      <c r="P9" s="596">
        <f>IF(O7=0,0,O9/O7*100)</f>
        <v>712.5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76</v>
      </c>
      <c r="L11" s="584">
        <f>IF(L7=0,0,K11/L7*100)</f>
        <v>475</v>
      </c>
      <c r="M11" s="676">
        <f>M9*(100-N6)/100</f>
        <v>95</v>
      </c>
      <c r="N11" s="677">
        <f>IF(N7=0,0,M11/N7*100)</f>
        <v>593.75</v>
      </c>
      <c r="O11" s="583">
        <f>O9*(100-P6)/100</f>
        <v>114</v>
      </c>
      <c r="P11" s="584">
        <f>IF(P7=0,0,O11/P7*100)</f>
        <v>712.5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5.9</v>
      </c>
      <c r="L13" s="360"/>
      <c r="M13" s="419">
        <v>5.9</v>
      </c>
      <c r="N13" s="649"/>
      <c r="O13" s="419">
        <v>5.9</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9.8333333333333339</v>
      </c>
      <c r="L14" s="360"/>
      <c r="M14" s="679">
        <f>M13/$G14</f>
        <v>9.8333333333333339</v>
      </c>
      <c r="N14" s="649"/>
      <c r="O14" s="426">
        <f>O13/$G14</f>
        <v>9.8333333333333339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4484</v>
      </c>
      <c r="L15" s="360"/>
      <c r="M15" s="680">
        <f>M$11*M13*10</f>
        <v>5605</v>
      </c>
      <c r="N15" s="649"/>
      <c r="O15" s="417">
        <f>O$11*O13*10</f>
        <v>6726</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7473.3333333333339</v>
      </c>
      <c r="L16" s="359"/>
      <c r="M16" s="681">
        <f>M$11*M14*10</f>
        <v>9341.6666666666679</v>
      </c>
      <c r="N16" s="370"/>
      <c r="O16" s="418">
        <f>O$11*O14*10</f>
        <v>11210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72.225000000000009</v>
      </c>
      <c r="M27" s="669"/>
      <c r="N27" s="651">
        <f>SUM(N29:N30)</f>
        <v>72.225000000000009</v>
      </c>
      <c r="O27" s="272"/>
      <c r="P27" s="267">
        <f>SUM(P29:P30)</f>
        <v>72.225000000000009</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4.5</v>
      </c>
      <c r="I29" s="586">
        <f>H29*($H$27+100)/100</f>
        <v>4.8150000000000004</v>
      </c>
      <c r="J29" s="90"/>
      <c r="K29" s="382">
        <v>15</v>
      </c>
      <c r="L29" s="279">
        <f>$I29*K29</f>
        <v>72.225000000000009</v>
      </c>
      <c r="M29" s="382">
        <v>15</v>
      </c>
      <c r="N29" s="656">
        <f>$I29*M29</f>
        <v>72.225000000000009</v>
      </c>
      <c r="O29" s="382">
        <v>15</v>
      </c>
      <c r="P29" s="279">
        <f>$I29*O29</f>
        <v>72.225000000000009</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727.19947999999988</v>
      </c>
      <c r="M31" s="683"/>
      <c r="N31" s="651">
        <f>SUM(N33:N36)-N17</f>
        <v>908.99934999999982</v>
      </c>
      <c r="O31" s="276"/>
      <c r="P31" s="267">
        <f>SUM(P33:P36)-P17</f>
        <v>1090.7992199999999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2987" t="s">
        <v>1209</v>
      </c>
      <c r="H32" s="298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2.92</v>
      </c>
      <c r="H33" s="2985">
        <v>-1.75</v>
      </c>
      <c r="I33" s="3382"/>
      <c r="J33" s="3383"/>
      <c r="K33" s="278">
        <f>$G$33*K$9+($H$33*K$5)</f>
        <v>81.919999999999987</v>
      </c>
      <c r="L33" s="279">
        <f>K33*$E33</f>
        <v>292.45439999999996</v>
      </c>
      <c r="M33" s="684">
        <f>$G$33*M$9+($H$33*M$5)</f>
        <v>102.39999999999998</v>
      </c>
      <c r="N33" s="656">
        <f>M33*$E33</f>
        <v>365.56799999999993</v>
      </c>
      <c r="O33" s="278">
        <f>$G$33*O$9+($H$33*O$5)</f>
        <v>122.88</v>
      </c>
      <c r="P33" s="279">
        <f>O33*$E33</f>
        <v>438.68159999999995</v>
      </c>
      <c r="R33" s="3003" t="s">
        <v>1275</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0.73</v>
      </c>
      <c r="H34" s="327"/>
      <c r="I34" s="3384"/>
      <c r="J34" s="3385"/>
      <c r="K34" s="278">
        <f>G34*$K$9+H34</f>
        <v>55.48</v>
      </c>
      <c r="L34" s="279">
        <f>K34*$E34</f>
        <v>143.92621600000001</v>
      </c>
      <c r="M34" s="684">
        <f>G34*$M$9+H34</f>
        <v>69.349999999999994</v>
      </c>
      <c r="N34" s="656">
        <f>M34*$E34</f>
        <v>179.90777</v>
      </c>
      <c r="O34" s="278">
        <f>G34*$O$9+H34</f>
        <v>83.22</v>
      </c>
      <c r="P34" s="279">
        <f>O34*$E34</f>
        <v>215.88932400000002</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3.25</v>
      </c>
      <c r="H35" s="327"/>
      <c r="I35"/>
      <c r="J35" s="163"/>
      <c r="K35" s="278">
        <f>G35*$K$9+H35</f>
        <v>247</v>
      </c>
      <c r="L35" s="279">
        <f>K35*$E35</f>
        <v>229.2654</v>
      </c>
      <c r="M35" s="684">
        <f>G35*$M$9+H35</f>
        <v>308.75</v>
      </c>
      <c r="N35" s="656">
        <f>M35*$E35</f>
        <v>286.58175</v>
      </c>
      <c r="O35" s="278">
        <f>G35*$O$9+H35</f>
        <v>370.5</v>
      </c>
      <c r="P35" s="279">
        <f>O35*$E35</f>
        <v>343.8981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0.41</v>
      </c>
      <c r="H36" s="328"/>
      <c r="I36" s="36"/>
      <c r="J36" s="36"/>
      <c r="K36" s="280">
        <f>G36*$K$9+H36</f>
        <v>31.159999999999997</v>
      </c>
      <c r="L36" s="275">
        <f>K36*$E36</f>
        <v>61.553463999999991</v>
      </c>
      <c r="M36" s="685">
        <f>G36*$M$9+H36</f>
        <v>38.949999999999996</v>
      </c>
      <c r="N36" s="657">
        <f>M36*$E36</f>
        <v>76.941829999999982</v>
      </c>
      <c r="O36" s="280">
        <f>G36*$O$9+H36</f>
        <v>46.739999999999995</v>
      </c>
      <c r="P36" s="275">
        <f>O36*$E36</f>
        <v>92.330195999999987</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233.17068599240002</v>
      </c>
      <c r="M42" s="687"/>
      <c r="N42" s="651">
        <f>SUM(N45:N55)</f>
        <v>292.2795950844</v>
      </c>
      <c r="O42" s="367"/>
      <c r="P42" s="267">
        <f>SUM(P45:P55)</f>
        <v>351.38850417639998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29</v>
      </c>
      <c r="C52" s="103"/>
      <c r="D52" s="132"/>
      <c r="E52" s="8"/>
      <c r="F52" s="8"/>
      <c r="G52" s="607"/>
      <c r="H52" s="602">
        <f>IF($B52=0,0,VLOOKUP($B52,Arbeitsgänge!$B$26:$T$79,6))</f>
        <v>67</v>
      </c>
      <c r="I52" s="603">
        <f>IF($B52=0,0,VLOOKUP($B52,Arbeitsgänge!$B$26:$T$79,11))</f>
        <v>3.07</v>
      </c>
      <c r="J52" s="401">
        <f>IF($B52=0,0,VLOOKUP($B52,Arbeitsgänge!$B$26:$T$79,12))</f>
        <v>59.108909092000005</v>
      </c>
      <c r="K52" s="316">
        <v>3</v>
      </c>
      <c r="L52" s="279">
        <f t="shared" si="0"/>
        <v>177.32672727600001</v>
      </c>
      <c r="M52" s="316">
        <v>4</v>
      </c>
      <c r="N52" s="656">
        <f t="shared" si="0"/>
        <v>236.43563636800002</v>
      </c>
      <c r="O52" s="316">
        <v>5</v>
      </c>
      <c r="P52" s="279">
        <f t="shared" si="0"/>
        <v>295.54454545999999</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2</v>
      </c>
      <c r="C53" s="103"/>
      <c r="D53" s="132"/>
      <c r="E53" s="8"/>
      <c r="F53" s="8"/>
      <c r="G53" s="607"/>
      <c r="H53" s="602">
        <f>IF($B53=0,0,VLOOKUP($B53,Arbeitsgänge!$B$26:$T$79,6))</f>
        <v>102</v>
      </c>
      <c r="I53" s="603">
        <f>IF($B53=0,0,VLOOKUP($B53,Arbeitsgänge!$B$26:$T$79,11))</f>
        <v>0.78</v>
      </c>
      <c r="J53" s="401">
        <f>IF($B53=0,0,VLOOKUP($B53,Arbeitsgänge!$B$26:$T$79,12))</f>
        <v>26.338674124000004</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34</v>
      </c>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11.12</v>
      </c>
      <c r="L56" s="283"/>
      <c r="M56" s="662">
        <f>SUMPRODUCT(M45:M55,I45:I55)</f>
        <v>14.19</v>
      </c>
      <c r="N56" s="663"/>
      <c r="O56" s="282">
        <f>SUMPRODUCT(O45:O55,I45:I55)</f>
        <v>17.259999999999998</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60</v>
      </c>
      <c r="H57" s="74" t="s">
        <v>487</v>
      </c>
      <c r="I57" s="74"/>
      <c r="J57" s="88"/>
      <c r="K57" s="284">
        <f>IF($G$57%*K56&gt;=10,10+K56,K56*(1+$G$57%))</f>
        <v>17.791999999999998</v>
      </c>
      <c r="L57" s="285"/>
      <c r="M57" s="664">
        <f>IF($G$57%*M56&gt;=10,10+M56,M56*(1+$G$57%))</f>
        <v>22.704000000000001</v>
      </c>
      <c r="N57" s="665"/>
      <c r="O57" s="284">
        <f>IF($G$57%*O56&gt;=10,10+O56,O56*(1+$G$57%))</f>
        <v>27.259999999999998</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816"/>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O17" sqref="O17"/>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71905"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171906"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171907"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171908"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171909"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171910"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171911"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171912"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171913"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171914"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171915"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171916"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171917"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171918"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171919"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171920"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171921"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171922"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171923"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171924"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171925"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171926"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171927"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171928"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171929"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171930"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171931"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171932"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171933"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171934"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171935"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171936"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10"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2.12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'KGGrün70-30(a)'!M2</f>
        <v>Kleegras kleebetont Grünfutter</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801"/>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800"/>
      <c r="J6" s="2800"/>
      <c r="K6" s="2800"/>
      <c r="L6" s="425" t="s">
        <v>72</v>
      </c>
      <c r="M6" s="258">
        <f>'KGGrün70-30(a)'!K5</f>
        <v>80</v>
      </c>
      <c r="N6" s="1290">
        <f>'KGGrün70-30(a)'!M5</f>
        <v>100</v>
      </c>
      <c r="O6" s="1298">
        <f>'KGGrün70-30(a)'!O5</f>
        <v>120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800"/>
      <c r="J7" s="2800"/>
      <c r="K7" s="2800"/>
      <c r="L7" s="425" t="s">
        <v>72</v>
      </c>
      <c r="M7" s="391">
        <f>'KGGrün70-30(a)'!K9</f>
        <v>76</v>
      </c>
      <c r="N7" s="1291">
        <f>'KGGrün70-30(a)'!M9</f>
        <v>95</v>
      </c>
      <c r="O7" s="1299">
        <f>'KGGrün70-30(a)'!O9</f>
        <v>114</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'KGGrün70-30(a)'!L9</f>
        <v>475</v>
      </c>
      <c r="N8" s="1292">
        <f>'KGGrün70-30(a)'!N9</f>
        <v>593.75</v>
      </c>
      <c r="O8" s="1201">
        <f>'KGGrün70-30(a)'!P9</f>
        <v>712.5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800"/>
      <c r="J9" s="2800"/>
      <c r="K9" s="2800"/>
      <c r="L9" s="425" t="s">
        <v>72</v>
      </c>
      <c r="M9" s="967">
        <f>'KGGrün70-30(a)'!K11</f>
        <v>76</v>
      </c>
      <c r="N9" s="1181">
        <f>'KGGrün70-30(a)'!M11</f>
        <v>95</v>
      </c>
      <c r="O9" s="1302">
        <f>'KGGrün70-30(a)'!O11</f>
        <v>114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800"/>
      <c r="J10" s="2800"/>
      <c r="K10" s="2800"/>
      <c r="L10" s="425" t="s">
        <v>376</v>
      </c>
      <c r="M10" s="1469">
        <f>'KGGrün70-30(a)'!L11</f>
        <v>475</v>
      </c>
      <c r="N10" s="1200">
        <f>'KGGrün70-30(a)'!N11</f>
        <v>593.75</v>
      </c>
      <c r="O10" s="1470">
        <f>'KGGrün70-30(a)'!P11</f>
        <v>712.5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'KGGrün70-30(a)'!L12</f>
        <v>0</v>
      </c>
      <c r="N11" s="1358">
        <f>'KGGrün70-30(a)'!N12</f>
        <v>0</v>
      </c>
      <c r="O11" s="1359">
        <f>'KGGrün70-30(a)'!P12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'KGGrün70-30(a)'!K15</f>
        <v>4484</v>
      </c>
      <c r="N12" s="1293">
        <f>'KGGrün70-30(a)'!M15</f>
        <v>5605</v>
      </c>
      <c r="O12" s="1300">
        <f>'KGGrün70-30(a)'!O15</f>
        <v>6726</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'KGGrün70-30(a)'!K16</f>
        <v>7473.3333333333339</v>
      </c>
      <c r="N13" s="1533">
        <f>'KGGrün70-30(a)'!M16</f>
        <v>9341.6666666666679</v>
      </c>
      <c r="O13" s="1534">
        <f>'KGGrün70-30(a)'!O16</f>
        <v>11210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'KGGrün70-30(a)'!L24</f>
        <v>270</v>
      </c>
      <c r="N15" s="2135">
        <f>'KGGrün70-30(a)'!N24</f>
        <v>270</v>
      </c>
      <c r="O15" s="2138">
        <f>'KGGrün70-30(a)'!P24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'KGGrün70-30(a)'!L18</f>
        <v>230</v>
      </c>
      <c r="N16" s="1291">
        <f>'KGGrün70-30(a)'!N18</f>
        <v>230</v>
      </c>
      <c r="O16" s="2140">
        <f>'KGGrün70-30(a)'!P18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'KGGrün70-30(a)'!L27</f>
        <v>72.225000000000009</v>
      </c>
      <c r="N19" s="1528">
        <f>'KGGrün70-30(a)'!N27</f>
        <v>72.225000000000009</v>
      </c>
      <c r="O19" s="1529">
        <f>'KGGrün70-30(a)'!P27</f>
        <v>72.225000000000009</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'KGGrün70-30(a)'!L31</f>
        <v>727.19947999999988</v>
      </c>
      <c r="N20" s="1186">
        <f>'KGGrün70-30(a)'!N31</f>
        <v>908.99934999999982</v>
      </c>
      <c r="O20" s="1192">
        <f>'KGGrün70-30(a)'!P31</f>
        <v>1090.7992199999999</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'KGGrün70-30(a)'!L37</f>
        <v>0</v>
      </c>
      <c r="N21" s="1186">
        <f>'KGGrün70-30(a)'!N37</f>
        <v>0</v>
      </c>
      <c r="O21" s="1192">
        <f>'KGGrün70-30(a)'!P37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'KGGrün70-30(a)'!L65</f>
        <v>0</v>
      </c>
      <c r="N22" s="1186">
        <f>'KGGrün70-30(a)'!N65</f>
        <v>0</v>
      </c>
      <c r="O22" s="1192">
        <f>'KGGrün70-30(a)'!P65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'KGGrün70-30(a)'!L67</f>
        <v>0</v>
      </c>
      <c r="N23" s="1186">
        <f>'KGGrün70-30(a)'!N67</f>
        <v>0</v>
      </c>
      <c r="O23" s="1192">
        <f>'KGGrün70-30(a)'!P67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'KGGrün70-30(a)'!L42</f>
        <v>233.17068599240002</v>
      </c>
      <c r="N24" s="1186">
        <f>'KGGrün70-30(a)'!N42</f>
        <v>292.2795950844</v>
      </c>
      <c r="O24" s="1192">
        <f>'KGGrün70-30(a)'!P42</f>
        <v>351.38850417639998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'KGGrün70-30(a)'!L58</f>
        <v>0</v>
      </c>
      <c r="N25" s="1186">
        <f>'KGGrün70-30(a)'!N58</f>
        <v>0</v>
      </c>
      <c r="O25" s="1192">
        <f>'KGGrün70-30(a)'!P58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'KGGrün70-30(a)'!L63</f>
        <v>0</v>
      </c>
      <c r="N26" s="1438">
        <f>'KGGrün70-30(a)'!N63</f>
        <v>0</v>
      </c>
      <c r="O26" s="1439">
        <f>'KGGrün70-30(a)'!P63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1032.5951659923999</v>
      </c>
      <c r="N27" s="1319">
        <f>SUM(N19:N26)</f>
        <v>1273.5039450843999</v>
      </c>
      <c r="O27" s="1511">
        <f>SUM(O19:O26)</f>
        <v>1514.4127241763997</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-1032.5951659923999</v>
      </c>
      <c r="N28" s="1321">
        <f>-N27</f>
        <v>-1273.5039450843999</v>
      </c>
      <c r="O28" s="1321">
        <f>-O27</f>
        <v>-1514.4127241763997</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-0.23028438135423726</v>
      </c>
      <c r="N29" s="1377">
        <f>IF(N$8=0,0,N$28/N$12)</f>
        <v>-0.22720855398472792</v>
      </c>
      <c r="O29" s="1377">
        <f>IF(O$8=0,0,O$28/O$12)</f>
        <v>-0.22515800240505496</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M27*'KGGrün70-30(a)'!$L$70*'KGGrün70-30(a)'!$P$70/12/100</f>
        <v>6.4537197874525001</v>
      </c>
      <c r="N31" s="1438">
        <f>N27*'KGGrün70-30(a)'!$L$70*'KGGrün70-30(a)'!$P$70/12/100</f>
        <v>7.9593996567775003</v>
      </c>
      <c r="O31" s="1439">
        <f>O27*'KGGrün70-30(a)'!$L$70*'KGGrün70-30(a)'!$P$70/12/100</f>
        <v>9.4650795261024978</v>
      </c>
      <c r="P31" s="163"/>
      <c r="T31" s="7" t="s">
        <v>581</v>
      </c>
      <c r="U31" s="2121"/>
      <c r="V31" s="2121"/>
      <c r="W31" s="2121"/>
      <c r="X31" s="2121"/>
      <c r="Y31" s="2121"/>
      <c r="Z31" s="2116">
        <f>'KGGrün70-30(a)'!Q18+'KGGrün70-30(a)'!Q24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-539.04888577985241</v>
      </c>
      <c r="N32" s="1313">
        <f>N28+N30-N31</f>
        <v>-781.46334474117737</v>
      </c>
      <c r="O32" s="1320">
        <f>O28+O30-O31</f>
        <v>-1023.8778037025022</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-0.12021607622209018</v>
      </c>
      <c r="N33" s="1180">
        <f>IF(N12=0,0,N32/N12)</f>
        <v>-0.13942254143464361</v>
      </c>
      <c r="O33" s="1503">
        <f>IF(O12=0,0,O32/O12)</f>
        <v>-0.15222685157634586</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-7.2129645733254102E-2</v>
      </c>
      <c r="N34" s="1194">
        <f>IF(N13=0,0,N32/N13)</f>
        <v>-8.3653524860786144E-2</v>
      </c>
      <c r="O34" s="1508">
        <f>IF(O13=0,0,O32/O13)</f>
        <v>-9.1336110945807514E-2</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'KGGrün70-30(a)'!K57</f>
        <v>17.791999999999998</v>
      </c>
      <c r="N36" s="1771">
        <f>'KGGrün70-30(a)'!M57</f>
        <v>22.704000000000001</v>
      </c>
      <c r="O36" s="1773">
        <f>'KGGrün70-30(a)'!O57</f>
        <v>27.259999999999998</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IF(M37=0,0,'Lager-Fläche'!$L$13)</f>
        <v>0</v>
      </c>
      <c r="J37" s="218" t="s">
        <v>32</v>
      </c>
      <c r="K37" s="218"/>
      <c r="L37" s="1531" t="s">
        <v>378</v>
      </c>
      <c r="M37" s="1802">
        <f>'KGGrün70-30(a)'!L10</f>
        <v>0</v>
      </c>
      <c r="N37" s="1803">
        <f>'KGGrün70-30(a)'!N10</f>
        <v>0</v>
      </c>
      <c r="O37" s="1804">
        <f>'KGGrün70-30(a)'!P10</f>
        <v>0</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293.56799999999998</v>
      </c>
      <c r="N38" s="1186">
        <f>$J$38*N36</f>
        <v>374.61599999999999</v>
      </c>
      <c r="O38" s="1192">
        <f>$J$38*O36</f>
        <v>449.78999999999996</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Maschinen!$X$43-(Maschinen!$X$29+Maschinen!$X$31+Maschinen!$X$32)</f>
        <v>333.64352678030309</v>
      </c>
      <c r="N40" s="1186">
        <f>Maschinen!$X$43-(Maschinen!$X$29+Maschinen!$X$31+Maschinen!$X$32)</f>
        <v>333.64352678030309</v>
      </c>
      <c r="O40" s="1192">
        <f>Maschinen!$X$43-(Maschinen!$X$29+Maschinen!$X$31+Maschinen!$X$32)</f>
        <v>333.64352678030309</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1010.9852767803031</v>
      </c>
      <c r="N44" s="1449">
        <f>SUM(N38:N43)</f>
        <v>1142.0332767803031</v>
      </c>
      <c r="O44" s="1452">
        <f>SUM(O38:O43)</f>
        <v>1267.2072767803031</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2050.0341625601554</v>
      </c>
      <c r="N47" s="1497">
        <f>N27+N31+N44</f>
        <v>2423.4966215214808</v>
      </c>
      <c r="O47" s="1536">
        <f>O27+O31+O44</f>
        <v>2791.0850804828051</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-2050.0341625601554</v>
      </c>
      <c r="N48" s="1667">
        <f>N46-N47</f>
        <v>-2423.4966215214808</v>
      </c>
      <c r="O48" s="1668">
        <f>O46-O47</f>
        <v>-2791.0850804828051</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-1550.0341625601554</v>
      </c>
      <c r="N50" s="1449">
        <f>N48+N49</f>
        <v>-1923.4966215214808</v>
      </c>
      <c r="O50" s="1452">
        <f>O48+O49</f>
        <v>-2291.0850804828051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1550.0341625601554</v>
      </c>
      <c r="N52" s="1315">
        <f>N47-N49</f>
        <v>1923.4966215214808</v>
      </c>
      <c r="O52" s="2149">
        <f>O47-O49</f>
        <v>2291.0850804828051</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3.2632298159161168</v>
      </c>
      <c r="N53" s="1740">
        <f>IF(N10=0,0,N$52/N10)</f>
        <v>3.2395732572993361</v>
      </c>
      <c r="O53" s="1741">
        <f>IF(O10=0,0,O$52/O10)</f>
        <v>3.2155580076951651</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20.395186349475729</v>
      </c>
      <c r="N54" s="1740">
        <f>IF(N9=0,0,N$52/N9)</f>
        <v>20.247332858120853</v>
      </c>
      <c r="O54" s="1741">
        <f>IF(O9=0,0,O$52/O9)</f>
        <v>20.097237548094782</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0.34568112456738526</v>
      </c>
      <c r="N56" s="1659">
        <f t="shared" si="3"/>
        <v>0.34317513318848902</v>
      </c>
      <c r="O56" s="1660">
        <f t="shared" si="3"/>
        <v>0.34063114488296242</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0.20740867474043112</v>
      </c>
      <c r="N57" s="1659">
        <f t="shared" si="3"/>
        <v>0.20590507991309337</v>
      </c>
      <c r="O57" s="1660">
        <f t="shared" si="3"/>
        <v>0.20437868692977745</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9.6022534602051457E-2</v>
      </c>
      <c r="N58" s="1662">
        <f>N52/$N$12*10/$F$58</f>
        <v>9.5326425885691402E-2</v>
      </c>
      <c r="O58" s="1663">
        <f>O52/$O$12*10/$F$58</f>
        <v>9.4619762467489557E-2</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1550.0341625601554</v>
      </c>
      <c r="N59" s="1313">
        <f>N52-N39</f>
        <v>1923.4966215214808</v>
      </c>
      <c r="O59" s="1320">
        <f>O52-O39</f>
        <v>2291.0850804828051</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20.395186349475729</v>
      </c>
      <c r="N60" s="2166">
        <f>N59/N7</f>
        <v>20.247332858120853</v>
      </c>
      <c r="O60" s="2167">
        <f>O59/O7</f>
        <v>20.097237548094782</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0.34568112456738526</v>
      </c>
      <c r="N61" s="1580">
        <f>IF(N12=0,0,N$59/N12)</f>
        <v>0.34317513318848902</v>
      </c>
      <c r="O61" s="1657">
        <f>IF(O12=0,0,O$59/O12)</f>
        <v>0.34063114488296242</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9.6022534602051457E-2</v>
      </c>
      <c r="N62" s="1580">
        <f>N59/$N$12*10/$F$58</f>
        <v>9.5326425885691402E-2</v>
      </c>
      <c r="O62" s="2171">
        <f>O59/$O$12*10/$F$58</f>
        <v>9.4619762467489557E-2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0.20740867474043112</v>
      </c>
      <c r="N63" s="1377">
        <f>IF(N13=0,0,N$59/N13)</f>
        <v>0.20590507991309337</v>
      </c>
      <c r="O63" s="1488">
        <f>IF(O13=0,0,O$59/O13)</f>
        <v>0.20437868692977745</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805.87819978745244</v>
      </c>
      <c r="N65" s="1316">
        <f>SUM(N19:N23)+N31</f>
        <v>989.18374965677731</v>
      </c>
      <c r="O65" s="1317">
        <f>SUM(O19:O23)+O31</f>
        <v>1172.4892995261023</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0.17972305972066291</v>
      </c>
      <c r="N66" s="1377">
        <f>N65/N12</f>
        <v>0.17648238174072745</v>
      </c>
      <c r="O66" s="1488">
        <f>O65/O12</f>
        <v>0.17432192975410382</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919.49112186470302</v>
      </c>
      <c r="N67" s="1494">
        <f>N24+N25+N26+N40+N38</f>
        <v>1000.539121864703</v>
      </c>
      <c r="O67" s="1495">
        <f>O24+O25+O26+O40+O38</f>
        <v>1134.822030956703</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0.20506046428740032</v>
      </c>
      <c r="N68" s="1612">
        <f>N67/N12</f>
        <v>0.17850831790628063</v>
      </c>
      <c r="O68" s="1631">
        <f>O67/O12</f>
        <v>0.16872168167658386</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21"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632</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1111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70</v>
      </c>
      <c r="L5" s="359"/>
      <c r="M5" s="2935">
        <v>90</v>
      </c>
      <c r="N5" s="1687"/>
      <c r="O5" s="2935">
        <v>110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8</v>
      </c>
      <c r="L6" s="581">
        <v>10</v>
      </c>
      <c r="M6" s="577">
        <v>8</v>
      </c>
      <c r="N6" s="581">
        <v>10</v>
      </c>
      <c r="O6" s="577">
        <v>8</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33</v>
      </c>
      <c r="L7" s="581">
        <v>35</v>
      </c>
      <c r="M7" s="577">
        <v>33</v>
      </c>
      <c r="N7" s="581">
        <v>35</v>
      </c>
      <c r="O7" s="577">
        <v>33</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6.5</v>
      </c>
      <c r="L8" s="582">
        <v>6.5</v>
      </c>
      <c r="M8" s="578">
        <v>6.5</v>
      </c>
      <c r="N8" s="582">
        <v>6.5</v>
      </c>
      <c r="O8" s="578">
        <v>6.5</v>
      </c>
      <c r="P8" s="582">
        <v>6.5</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64.400000000000006</v>
      </c>
      <c r="L9" s="596">
        <f>IF(K7=0,0,K9/K7*100)</f>
        <v>195.15151515151516</v>
      </c>
      <c r="M9" s="673">
        <f>M5*(100-M6)/100</f>
        <v>82.8</v>
      </c>
      <c r="N9" s="674">
        <f>IF(M7=0,0,M9/M7*100)</f>
        <v>250.90909090909088</v>
      </c>
      <c r="O9" s="595">
        <f>O5*(100-O6)/100</f>
        <v>101.2</v>
      </c>
      <c r="P9" s="596">
        <f>IF(O7=0,0,O9/O7*100)</f>
        <v>306.66666666666669</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30.023310023310025</v>
      </c>
      <c r="M10" s="236"/>
      <c r="N10" s="675">
        <f>IF(M8=0,0,1/M8*N9)</f>
        <v>38.6013986013986</v>
      </c>
      <c r="O10" s="164"/>
      <c r="P10" s="597">
        <f>IF(O8=0,0,1/O8*P9)</f>
        <v>47.179487179487182</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57.960000000000008</v>
      </c>
      <c r="L11" s="584">
        <f>IF(L7=0,0,K11/L7*100)</f>
        <v>165.60000000000002</v>
      </c>
      <c r="M11" s="676">
        <f>M9*(100-N6)/100</f>
        <v>74.52</v>
      </c>
      <c r="N11" s="677">
        <f>IF(N7=0,0,M11/N7*100)</f>
        <v>212.91428571428571</v>
      </c>
      <c r="O11" s="583">
        <f>O9*(100-P6)/100</f>
        <v>91.08</v>
      </c>
      <c r="P11" s="584">
        <f>IF(P7=0,0,O11/P7*100)</f>
        <v>260.22857142857146</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25.476923076923082</v>
      </c>
      <c r="M12" s="666"/>
      <c r="N12" s="678">
        <f>IF(N8=0,0,1/N8*N11)</f>
        <v>32.75604395604396</v>
      </c>
      <c r="O12" s="414"/>
      <c r="P12" s="422">
        <f>IF(P8=0,0,1/P8*P11)</f>
        <v>40.035164835164842</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v>
      </c>
      <c r="L13" s="360"/>
      <c r="M13" s="419">
        <v>6</v>
      </c>
      <c r="N13" s="649"/>
      <c r="O13" s="419">
        <v>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v>
      </c>
      <c r="L14" s="360"/>
      <c r="M14" s="679">
        <f>M13/$G14</f>
        <v>10</v>
      </c>
      <c r="N14" s="649"/>
      <c r="O14" s="426">
        <f>O13/$G14</f>
        <v>10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3477.6000000000004</v>
      </c>
      <c r="L15" s="360"/>
      <c r="M15" s="680">
        <f>M$11*M13*10</f>
        <v>4471.2</v>
      </c>
      <c r="N15" s="649"/>
      <c r="O15" s="417">
        <f>O$11*O13*10</f>
        <v>5464.8</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5796.0000000000018</v>
      </c>
      <c r="L16" s="359"/>
      <c r="M16" s="681">
        <f>M$11*M14*10</f>
        <v>7451.9999999999991</v>
      </c>
      <c r="N16" s="370"/>
      <c r="O16" s="418">
        <f>O$11*O14*10</f>
        <v>9108</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68.212500000000006</v>
      </c>
      <c r="M27" s="669"/>
      <c r="N27" s="651">
        <f>SUM(N29:N30)</f>
        <v>68.212500000000006</v>
      </c>
      <c r="O27" s="272"/>
      <c r="P27" s="267">
        <f>SUM(P29:P30)</f>
        <v>68.212500000000006</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4.25</v>
      </c>
      <c r="I29" s="586">
        <f>H29*($H$27+100)/100</f>
        <v>4.5475000000000003</v>
      </c>
      <c r="J29" s="90"/>
      <c r="K29" s="382">
        <v>15</v>
      </c>
      <c r="L29" s="279">
        <f>$I29*K29</f>
        <v>68.212500000000006</v>
      </c>
      <c r="M29" s="382">
        <v>15</v>
      </c>
      <c r="N29" s="656">
        <f>$I29*M29</f>
        <v>68.212500000000006</v>
      </c>
      <c r="O29" s="382">
        <v>15</v>
      </c>
      <c r="P29" s="279">
        <f>$I29*O29</f>
        <v>68.212500000000006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764.83061199999997</v>
      </c>
      <c r="M31" s="683"/>
      <c r="N31" s="651">
        <f>SUM(N33:N36)-N17</f>
        <v>983.35364399999969</v>
      </c>
      <c r="O31" s="276"/>
      <c r="P31" s="267">
        <f>SUM(P33:P36)-P17</f>
        <v>1201.8766760000003</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2.92</v>
      </c>
      <c r="H33" s="2985">
        <v>-1.1000000000000001</v>
      </c>
      <c r="I33" s="3382"/>
      <c r="J33" s="3383"/>
      <c r="K33" s="278">
        <f>$G$33*K$9+($H$33*K$5)</f>
        <v>111.048</v>
      </c>
      <c r="L33" s="279">
        <f>K33*$E33</f>
        <v>396.44135999999997</v>
      </c>
      <c r="M33" s="684">
        <f>$G$33*M$9+($H$33*M$5)</f>
        <v>142.77599999999995</v>
      </c>
      <c r="N33" s="656">
        <f>M33*$E33</f>
        <v>509.7103199999998</v>
      </c>
      <c r="O33" s="278">
        <f>$G$33*O$9+($H$33*O$5)</f>
        <v>174.50400000000002</v>
      </c>
      <c r="P33" s="279">
        <f>O33*$E33</f>
        <v>622.97928000000002</v>
      </c>
      <c r="R33" s="3003" t="s">
        <v>1276</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0.73</v>
      </c>
      <c r="H34" s="327"/>
      <c r="I34" s="3384"/>
      <c r="J34" s="3385"/>
      <c r="K34" s="278">
        <f>G34*$K$9+H34</f>
        <v>47.012</v>
      </c>
      <c r="L34" s="279">
        <f>K34*$E34</f>
        <v>121.95853040000001</v>
      </c>
      <c r="M34" s="684">
        <f>G34*$M$9+H34</f>
        <v>60.443999999999996</v>
      </c>
      <c r="N34" s="656">
        <f>M34*$E34</f>
        <v>156.8038248</v>
      </c>
      <c r="O34" s="278">
        <f>G34*$O$9+H34</f>
        <v>73.876000000000005</v>
      </c>
      <c r="P34" s="279">
        <f>O34*$E34</f>
        <v>191.64911920000003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3.25</v>
      </c>
      <c r="H35" s="327"/>
      <c r="I35"/>
      <c r="J35" s="163"/>
      <c r="K35" s="278">
        <f>G35*$K$9+H35</f>
        <v>209.3</v>
      </c>
      <c r="L35" s="279">
        <f>K35*$E35</f>
        <v>194.27226000000002</v>
      </c>
      <c r="M35" s="684">
        <f>G35*$M$9+H35</f>
        <v>269.09999999999997</v>
      </c>
      <c r="N35" s="656">
        <f>M35*$E35</f>
        <v>249.77861999999996</v>
      </c>
      <c r="O35" s="278">
        <f>G35*$O$9+H35</f>
        <v>328.90000000000003</v>
      </c>
      <c r="P35" s="279">
        <f>O35*$E35</f>
        <v>305.28498000000002</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0.41</v>
      </c>
      <c r="H36" s="328"/>
      <c r="I36" s="36"/>
      <c r="J36" s="36"/>
      <c r="K36" s="280">
        <f>G36*$K$9+H36</f>
        <v>26.404</v>
      </c>
      <c r="L36" s="275">
        <f>K36*$E36</f>
        <v>52.158461599999995</v>
      </c>
      <c r="M36" s="685">
        <f>G36*$M$9+H36</f>
        <v>33.947999999999993</v>
      </c>
      <c r="N36" s="657">
        <f>M36*$E36</f>
        <v>67.060879199999974</v>
      </c>
      <c r="O36" s="280">
        <f>G36*$O$9+H36</f>
        <v>41.491999999999997</v>
      </c>
      <c r="P36" s="275">
        <f>O36*$E36</f>
        <v>81.963296799999981</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192.76592584369047</v>
      </c>
      <c r="M42" s="687"/>
      <c r="N42" s="651">
        <f>SUM(N45:N55)</f>
        <v>236.12756851663059</v>
      </c>
      <c r="O42" s="367"/>
      <c r="P42" s="267">
        <f>SUM(P45:P55)</f>
        <v>279.48921118957077</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37</v>
      </c>
      <c r="C55" s="103"/>
      <c r="D55" s="133"/>
      <c r="E55" s="84"/>
      <c r="F55" s="84"/>
      <c r="G55" s="608"/>
      <c r="H55" s="604">
        <f>IF($B55=0,0,VLOOKUP($B55,Arbeitsgänge!$B$26:$T$79,6))</f>
        <v>102</v>
      </c>
      <c r="I55" s="604">
        <f>IF($B55=0,0,VLOOKUP($B55,Arbeitsgänge!$B$26:$T$79,11))</f>
        <v>0.49</v>
      </c>
      <c r="J55" s="1430">
        <f>IF($B55=0,0,VLOOKUP($B55,Arbeitsgänge!$B$26:$T$79,12))</f>
        <v>10.054906428000001</v>
      </c>
      <c r="K55" s="317">
        <f>L9/41</f>
        <v>4.7597930524759793</v>
      </c>
      <c r="L55" s="313">
        <f t="shared" si="0"/>
        <v>47.859273759290467</v>
      </c>
      <c r="M55" s="319">
        <f>N9/41</f>
        <v>6.1197339246119729</v>
      </c>
      <c r="N55" s="661">
        <f t="shared" si="0"/>
        <v>61.533351976230598</v>
      </c>
      <c r="O55" s="319">
        <f>P9/41</f>
        <v>7.4796747967479682</v>
      </c>
      <c r="P55" s="313">
        <f t="shared" si="0"/>
        <v>75.207430193170751</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6.9722985957132293</v>
      </c>
      <c r="L56" s="283"/>
      <c r="M56" s="662">
        <f>SUMPRODUCT(M45:M55,I45:I55)</f>
        <v>8.5486696230598671</v>
      </c>
      <c r="N56" s="663"/>
      <c r="O56" s="282">
        <f>SUMPRODUCT(O45:O55,I45:I55)</f>
        <v>10.125040650406504</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11.852907612712489</v>
      </c>
      <c r="L57" s="285"/>
      <c r="M57" s="664">
        <f>IF($G$57%*M56&gt;=10,10+M56,M56*(1+$G$57%))</f>
        <v>14.532738359201774</v>
      </c>
      <c r="N57" s="665"/>
      <c r="O57" s="284">
        <f>IF($G$57%*O56&gt;=10,10+O56,O56*(1+$G$57%))</f>
        <v>17.212569105691056</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142.80000000000001</v>
      </c>
      <c r="M58" s="690"/>
      <c r="N58" s="651">
        <f>SUM(N60:N62)</f>
        <v>190.4</v>
      </c>
      <c r="O58" s="286"/>
      <c r="P58" s="267">
        <f>SUM(P60:P62)</f>
        <v>238</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974" t="s">
        <v>1200</v>
      </c>
      <c r="E60" s="58"/>
      <c r="F60" s="58"/>
      <c r="G60" s="58"/>
      <c r="H60" s="2036">
        <v>40</v>
      </c>
      <c r="I60" s="2037">
        <f>H60*($H$58+100)/100</f>
        <v>47.6</v>
      </c>
      <c r="J60" s="341"/>
      <c r="K60" s="2038">
        <v>3</v>
      </c>
      <c r="L60" s="2039">
        <f>K60*I60</f>
        <v>142.80000000000001</v>
      </c>
      <c r="M60" s="2038">
        <v>4</v>
      </c>
      <c r="N60" s="2040">
        <f>M60*I60</f>
        <v>190.4</v>
      </c>
      <c r="O60" s="2038">
        <v>5</v>
      </c>
      <c r="P60" s="2039">
        <f>O60*I60</f>
        <v>238</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0.33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36</v>
      </c>
      <c r="M67" s="694"/>
      <c r="N67" s="651">
        <f>SUM(N68:N69)</f>
        <v>36</v>
      </c>
      <c r="O67" s="272"/>
      <c r="P67" s="267">
        <f>SUM(P68:P69)</f>
        <v>36</v>
      </c>
      <c r="Q67" s="958"/>
    </row>
    <row r="68" spans="1:79" s="50" customFormat="1" ht="14.95" customHeight="1" x14ac:dyDescent="0.2">
      <c r="A68" s="2813"/>
      <c r="B68" s="2814"/>
      <c r="C68" s="103"/>
      <c r="D68" s="2815" t="s">
        <v>1115</v>
      </c>
      <c r="E68" s="2809"/>
      <c r="F68" s="2809"/>
      <c r="G68" s="2809"/>
      <c r="H68" s="1102"/>
      <c r="I68" s="2036">
        <v>36</v>
      </c>
      <c r="J68" s="141"/>
      <c r="K68" s="969"/>
      <c r="L68" s="2253">
        <f>$I$68</f>
        <v>36</v>
      </c>
      <c r="M68" s="969"/>
      <c r="N68" s="2254">
        <f>$I$68</f>
        <v>36</v>
      </c>
      <c r="O68" s="969"/>
      <c r="P68" s="2253">
        <f>$I$68</f>
        <v>36</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H61" sqref="H6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O34:O36 M34:M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69857"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169858"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169859"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169860"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169861"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169862"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169863"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169864"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169865"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169866"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169867"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169868"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169869"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169870"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169871"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169872"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169873"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169874"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169875"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169876"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169877"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169878"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169879"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169880"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169881"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169882"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169883"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169884"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169885"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169886"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169887"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169888"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'KGSilo30-70(a)'!M2</f>
        <v>Kleegras grasbetont Silage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'KGSilo30-70(a)'!H3</f>
        <v>zweijähriges Kleegras, Blanksaat mit &lt; 50% Leguminosenanteil, 3-5 Schnitte Ladewagen Lohn</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801"/>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800"/>
      <c r="J6" s="2800"/>
      <c r="K6" s="2800"/>
      <c r="L6" s="425" t="s">
        <v>72</v>
      </c>
      <c r="M6" s="258">
        <f>'KGSilo30-70(a)'!K5</f>
        <v>70</v>
      </c>
      <c r="N6" s="1290">
        <f>'KGSilo30-70(a)'!M5</f>
        <v>90</v>
      </c>
      <c r="O6" s="1298">
        <f>'KGSilo30-70(a)'!O5</f>
        <v>110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800"/>
      <c r="J7" s="2800"/>
      <c r="K7" s="2800"/>
      <c r="L7" s="425" t="s">
        <v>72</v>
      </c>
      <c r="M7" s="391">
        <f>'KGSilo30-70(a)'!K9</f>
        <v>64.400000000000006</v>
      </c>
      <c r="N7" s="1291">
        <f>'KGSilo30-70(a)'!M9</f>
        <v>82.8</v>
      </c>
      <c r="O7" s="1299">
        <f>'KGSilo30-70(a)'!O9</f>
        <v>101.2</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'KGSilo30-70(a)'!L9</f>
        <v>195.15151515151516</v>
      </c>
      <c r="N8" s="1292">
        <f>'KGSilo30-70(a)'!N9</f>
        <v>250.90909090909088</v>
      </c>
      <c r="O8" s="1201">
        <f>'KGSilo30-70(a)'!P9</f>
        <v>306.66666666666669</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800"/>
      <c r="J9" s="2800"/>
      <c r="K9" s="2800"/>
      <c r="L9" s="425" t="s">
        <v>72</v>
      </c>
      <c r="M9" s="967">
        <f>'KGSilo30-70(a)'!K11</f>
        <v>57.960000000000008</v>
      </c>
      <c r="N9" s="1181">
        <f>'KGSilo30-70(a)'!M11</f>
        <v>74.52</v>
      </c>
      <c r="O9" s="1302">
        <f>'KGSilo30-70(a)'!O11</f>
        <v>91.08</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800"/>
      <c r="J10" s="2800"/>
      <c r="K10" s="2800"/>
      <c r="L10" s="425" t="s">
        <v>376</v>
      </c>
      <c r="M10" s="1469">
        <f>'KGSilo30-70(a)'!L11</f>
        <v>165.60000000000002</v>
      </c>
      <c r="N10" s="1200">
        <f>'KGSilo30-70(a)'!N11</f>
        <v>212.91428571428571</v>
      </c>
      <c r="O10" s="1470">
        <f>'KGSilo30-70(a)'!P11</f>
        <v>260.22857142857146</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'KGSilo30-70(a)'!L12</f>
        <v>25.476923076923082</v>
      </c>
      <c r="N11" s="1358">
        <f>'KGSilo30-70(a)'!N12</f>
        <v>32.75604395604396</v>
      </c>
      <c r="O11" s="1359">
        <f>'KGSilo30-70(a)'!P12</f>
        <v>40.035164835164842</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'KGSilo30-70(a)'!K15</f>
        <v>3477.6000000000004</v>
      </c>
      <c r="N12" s="1293">
        <f>'KGSilo30-70(a)'!M15</f>
        <v>4471.2</v>
      </c>
      <c r="O12" s="1300">
        <f>'KGSilo30-70(a)'!O15</f>
        <v>5464.8</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'KGSilo30-70(a)'!K16</f>
        <v>5796.0000000000018</v>
      </c>
      <c r="N13" s="1533">
        <f>'KGSilo30-70(a)'!M16</f>
        <v>7451.9999999999991</v>
      </c>
      <c r="O13" s="1534">
        <f>'KGSilo30-70(a)'!O16</f>
        <v>9108</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'KGSilo30-70(a)'!L24</f>
        <v>270</v>
      </c>
      <c r="N15" s="2135">
        <f>'KGSilo30-70(a)'!N24</f>
        <v>270</v>
      </c>
      <c r="O15" s="2138">
        <f>'KGSilo30-70(a)'!P24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'KGSilo30-70(a)'!L18</f>
        <v>230</v>
      </c>
      <c r="N16" s="1291">
        <f>'KGSilo30-70(a)'!N18</f>
        <v>230</v>
      </c>
      <c r="O16" s="2140">
        <f>'KGSilo30-70(a)'!P18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'KGSilo30-70(a)'!L27</f>
        <v>68.212500000000006</v>
      </c>
      <c r="N19" s="1528">
        <f>'KGSilo30-70(a)'!N27</f>
        <v>68.212500000000006</v>
      </c>
      <c r="O19" s="1529">
        <f>'KGSilo30-70(a)'!P27</f>
        <v>68.212500000000006</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'KGSilo30-70(a)'!L31</f>
        <v>764.83061199999997</v>
      </c>
      <c r="N20" s="1186">
        <f>'KGSilo30-70(a)'!N31</f>
        <v>983.35364399999969</v>
      </c>
      <c r="O20" s="1192">
        <f>'KGSilo30-70(a)'!P31</f>
        <v>1201.8766760000003</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'KGSilo30-70(a)'!L37</f>
        <v>0</v>
      </c>
      <c r="N21" s="1186">
        <f>'KGSilo30-70(a)'!N37</f>
        <v>0</v>
      </c>
      <c r="O21" s="1192">
        <f>'KGSilo30-70(a)'!P37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'KGSilo30-70(a)'!L65</f>
        <v>0</v>
      </c>
      <c r="N22" s="1186">
        <f>'KGSilo30-70(a)'!N65</f>
        <v>0</v>
      </c>
      <c r="O22" s="1192">
        <f>'KGSilo30-70(a)'!P65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'KGSilo30-70(a)'!L67</f>
        <v>36</v>
      </c>
      <c r="N23" s="1186">
        <f>'KGSilo30-70(a)'!N67</f>
        <v>36</v>
      </c>
      <c r="O23" s="1192">
        <f>'KGSilo30-70(a)'!P67</f>
        <v>36</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'KGSilo30-70(a)'!L42</f>
        <v>192.76592584369047</v>
      </c>
      <c r="N24" s="1186">
        <f>'KGSilo30-70(a)'!N42</f>
        <v>236.12756851663059</v>
      </c>
      <c r="O24" s="1192">
        <f>'KGSilo30-70(a)'!P42</f>
        <v>279.48921118957077</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'KGSilo30-70(a)'!L58</f>
        <v>142.80000000000001</v>
      </c>
      <c r="N25" s="1186">
        <f>'KGSilo30-70(a)'!N58</f>
        <v>190.4</v>
      </c>
      <c r="O25" s="1192">
        <f>'KGSilo30-70(a)'!P58</f>
        <v>238</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'KGSilo30-70(a)'!L63</f>
        <v>0</v>
      </c>
      <c r="N26" s="1438">
        <f>'KGSilo30-70(a)'!N63</f>
        <v>0</v>
      </c>
      <c r="O26" s="1439">
        <f>'KGSilo30-70(a)'!P63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1204.6090378436904</v>
      </c>
      <c r="N27" s="1319">
        <f>SUM(N19:N26)</f>
        <v>1514.0937125166304</v>
      </c>
      <c r="O27" s="1511">
        <f>SUM(O19:O26)</f>
        <v>1823.5783871895712</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-1204.6090378436904</v>
      </c>
      <c r="N28" s="1321">
        <f>-N27</f>
        <v>-1514.0937125166304</v>
      </c>
      <c r="O28" s="1321">
        <f>-O27</f>
        <v>-1823.5783871895712</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-0.34639091265346511</v>
      </c>
      <c r="N29" s="1377">
        <f>IF(N$8=0,0,N$28/N$12)</f>
        <v>-0.33863251756052748</v>
      </c>
      <c r="O29" s="1377">
        <f>IF(O$8=0,0,O$28/O$12)</f>
        <v>-0.33369535704684</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M27*'KGSilo30-70(a)'!$L$70*'KGSilo30-70(a)'!$P$70/12/100</f>
        <v>7.5288064865230657</v>
      </c>
      <c r="N31" s="1438">
        <f>N27*'KGSilo30-70(a)'!$L$70*'KGSilo30-70(a)'!$P$70/12/100</f>
        <v>9.4630857032289413</v>
      </c>
      <c r="O31" s="1439">
        <f>O27*'KGSilo30-70(a)'!$L$70*'KGSilo30-70(a)'!$P$70/12/100</f>
        <v>11.397364919934821</v>
      </c>
      <c r="P31" s="163"/>
      <c r="T31" s="7" t="s">
        <v>581</v>
      </c>
      <c r="U31" s="2121"/>
      <c r="V31" s="2121"/>
      <c r="W31" s="2121"/>
      <c r="X31" s="2121"/>
      <c r="Y31" s="2121"/>
      <c r="Z31" s="2116">
        <f>'KGSilo30-70(a)'!Q18+'KGSilo30-70(a)'!Q24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-712.13784433021351</v>
      </c>
      <c r="N32" s="1313">
        <f>N28+N30-N31</f>
        <v>-1023.5567982198593</v>
      </c>
      <c r="O32" s="1320">
        <f>O28+O30-O31</f>
        <v>-1334.9757521095059</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-0.20477853816718813</v>
      </c>
      <c r="N33" s="1180">
        <f>IF(N12=0,0,N32/N12)</f>
        <v>-0.22892216814722208</v>
      </c>
      <c r="O33" s="1503">
        <f>IF(O12=0,0,O32/O12)</f>
        <v>-0.24428629631633469</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-0.12286712290031285</v>
      </c>
      <c r="N34" s="1194">
        <f>IF(N13=0,0,N32/N13)</f>
        <v>-0.13735330088833325</v>
      </c>
      <c r="O34" s="1508">
        <f>IF(O13=0,0,O32/O13)</f>
        <v>-0.14657177778980082</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'KGSilo30-70(a)'!K57</f>
        <v>11.852907612712489</v>
      </c>
      <c r="N36" s="1771">
        <f>'KGSilo30-70(a)'!M57</f>
        <v>14.532738359201774</v>
      </c>
      <c r="O36" s="1773">
        <f>'KGSilo30-70(a)'!O57</f>
        <v>17.212569105691056</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IF(M37=0,0,'Lager-Fläche'!$L$13)</f>
        <v>2.5287500000000001</v>
      </c>
      <c r="J37" s="218" t="s">
        <v>32</v>
      </c>
      <c r="K37" s="218"/>
      <c r="L37" s="1531" t="s">
        <v>378</v>
      </c>
      <c r="M37" s="1802">
        <f>'KGSilo30-70(a)'!L10</f>
        <v>30.023310023310025</v>
      </c>
      <c r="N37" s="1803">
        <f>'KGSilo30-70(a)'!N10</f>
        <v>38.6013986013986</v>
      </c>
      <c r="O37" s="1804">
        <f>'KGSilo30-70(a)'!P10</f>
        <v>47.179487179487182</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195.57297560975607</v>
      </c>
      <c r="N38" s="1186">
        <f>$J$38*N36</f>
        <v>239.79018292682929</v>
      </c>
      <c r="O38" s="1192">
        <f>$J$38*O36</f>
        <v>284.00739024390242</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75.921445221445225</v>
      </c>
      <c r="N39" s="1805">
        <f>N37*$I$37</f>
        <v>97.613286713286712</v>
      </c>
      <c r="O39" s="1801">
        <f>O37*$I$37</f>
        <v>119.30512820512821</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1064.7279498842317</v>
      </c>
      <c r="N44" s="1449">
        <f>SUM(N38:N43)</f>
        <v>1180.6369986931463</v>
      </c>
      <c r="O44" s="1452">
        <f>SUM(O38:O43)</f>
        <v>1296.5460475020611</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2276.8657942144455</v>
      </c>
      <c r="N47" s="1497">
        <f>N27+N31+N44</f>
        <v>2704.1937969130058</v>
      </c>
      <c r="O47" s="1536">
        <f>O27+O31+O44</f>
        <v>3131.5217996115671</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-2276.8657942144455</v>
      </c>
      <c r="N48" s="1667">
        <f>N46-N47</f>
        <v>-2704.1937969130058</v>
      </c>
      <c r="O48" s="1668">
        <f>O46-O47</f>
        <v>-3131.5217996115671</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-1776.8657942144455</v>
      </c>
      <c r="N50" s="1449">
        <f>N48+N49</f>
        <v>-2204.1937969130058</v>
      </c>
      <c r="O50" s="1452">
        <f>O48+O49</f>
        <v>-2631.5217996115671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1776.8657942144455</v>
      </c>
      <c r="N52" s="1315">
        <f>N47-N49</f>
        <v>2204.1937969130058</v>
      </c>
      <c r="O52" s="2149">
        <f>O47-O49</f>
        <v>2631.5217996115671</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10.72986590709206</v>
      </c>
      <c r="N53" s="1740">
        <f>IF(N10=0,0,N$52/N10)</f>
        <v>10.352493678469566</v>
      </c>
      <c r="O53" s="1741">
        <f>IF(O10=0,0,O$52/O10)</f>
        <v>10.112347714800707</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30.656759734548746</v>
      </c>
      <c r="N54" s="1740">
        <f>IF(N9=0,0,N$52/N9)</f>
        <v>29.578553367055903</v>
      </c>
      <c r="O54" s="1741">
        <f>IF(O9=0,0,O$52/O9)</f>
        <v>28.892422042287738</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69.74412839609839</v>
      </c>
      <c r="N55" s="1740">
        <f t="shared" si="3"/>
        <v>67.291208910052163</v>
      </c>
      <c r="O55" s="1741">
        <f t="shared" si="3"/>
        <v>65.730260146204586</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0.51094599557581244</v>
      </c>
      <c r="N56" s="1659">
        <f t="shared" si="3"/>
        <v>0.49297588945093174</v>
      </c>
      <c r="O56" s="1660">
        <f t="shared" si="3"/>
        <v>0.48154036737146227</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0.30656759734548739</v>
      </c>
      <c r="N57" s="1659">
        <f t="shared" si="3"/>
        <v>0.29578553367055904</v>
      </c>
      <c r="O57" s="1660">
        <f t="shared" si="3"/>
        <v>0.28892422042287735</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0.14192944321550346</v>
      </c>
      <c r="N58" s="1662">
        <f>N52/$N$12*10/$F$58</f>
        <v>0.13693774706970327</v>
      </c>
      <c r="O58" s="1663">
        <f>O52/$O$12*10/$F$58</f>
        <v>0.13376121315873951</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1700.9443489930002</v>
      </c>
      <c r="N59" s="1313">
        <f>N52-N39</f>
        <v>2106.5805101997189</v>
      </c>
      <c r="O59" s="1320">
        <f>O52-O39</f>
        <v>2512.2166714064388</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26.412179332189442</v>
      </c>
      <c r="N60" s="2166">
        <f>N59/N7</f>
        <v>25.44179360144588</v>
      </c>
      <c r="O60" s="2167">
        <f>O59/O7</f>
        <v>24.824275409154531</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0.48911443207758226</v>
      </c>
      <c r="N61" s="1580">
        <f>IF(N12=0,0,N$59/N12)</f>
        <v>0.4711443259527015</v>
      </c>
      <c r="O61" s="1657">
        <f>IF(O12=0,0,O$59/O12)</f>
        <v>0.4597088038732321</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0.13586512002155063</v>
      </c>
      <c r="N62" s="1580">
        <f>N59/$N$12*10/$F$58</f>
        <v>0.13087342387575041</v>
      </c>
      <c r="O62" s="2171">
        <f>O59/$O$12*10/$F$58</f>
        <v>0.12769688996478668</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0.2934686592465493</v>
      </c>
      <c r="N63" s="1377">
        <f>IF(N13=0,0,N$59/N13)</f>
        <v>0.2826865955716209</v>
      </c>
      <c r="O63" s="1488">
        <f>IF(O13=0,0,O$59/O13)</f>
        <v>0.27582528232393927</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876.57191848652303</v>
      </c>
      <c r="N65" s="1316">
        <f>SUM(N19:N23)+N31</f>
        <v>1097.0292297032286</v>
      </c>
      <c r="O65" s="1317">
        <f>SUM(O19:O23)+O31</f>
        <v>1317.4865409199351</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0.25206231840537235</v>
      </c>
      <c r="N66" s="1377">
        <f>N65/N12</f>
        <v>0.24535454233834958</v>
      </c>
      <c r="O66" s="1488">
        <f>O65/O12</f>
        <v>0.24108595756842613</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983.96032317941706</v>
      </c>
      <c r="N67" s="1494">
        <f>N24+N25+N26+N40+N38</f>
        <v>1075.7775304964903</v>
      </c>
      <c r="O67" s="1495">
        <f>O24+O25+O26+O40+O38</f>
        <v>1210.9563804865036</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0.28294235196095496</v>
      </c>
      <c r="N68" s="1612">
        <f>N67/N12</f>
        <v>0.24060152319209391</v>
      </c>
      <c r="O68" s="1631">
        <f>O67/O12</f>
        <v>0.22159207665175368</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5" style="7" bestFit="1"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1116</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1141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80</v>
      </c>
      <c r="L5" s="359"/>
      <c r="M5" s="2935">
        <v>100</v>
      </c>
      <c r="N5" s="1687"/>
      <c r="O5" s="2935">
        <v>120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8</v>
      </c>
      <c r="L6" s="581"/>
      <c r="M6" s="577">
        <v>8</v>
      </c>
      <c r="N6" s="581"/>
      <c r="O6" s="577">
        <v>8</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16</v>
      </c>
      <c r="L7" s="581">
        <v>90</v>
      </c>
      <c r="M7" s="577">
        <v>16</v>
      </c>
      <c r="N7" s="581">
        <v>90</v>
      </c>
      <c r="O7" s="577">
        <v>16</v>
      </c>
      <c r="P7" s="581">
        <v>90</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8</v>
      </c>
      <c r="L8" s="582">
        <v>8</v>
      </c>
      <c r="M8" s="578">
        <v>8</v>
      </c>
      <c r="N8" s="582">
        <v>8</v>
      </c>
      <c r="O8" s="578">
        <v>8</v>
      </c>
      <c r="P8" s="582">
        <v>8</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73.599999999999994</v>
      </c>
      <c r="L9" s="596">
        <f>IF(K7=0,0,K9/K7*100)</f>
        <v>459.99999999999994</v>
      </c>
      <c r="M9" s="673">
        <f>M5*(100-M6)/100</f>
        <v>92</v>
      </c>
      <c r="N9" s="674">
        <f>IF(M7=0,0,M9/M7*100)</f>
        <v>575</v>
      </c>
      <c r="O9" s="595">
        <f>O5*(100-O6)/100</f>
        <v>110.4</v>
      </c>
      <c r="P9" s="596">
        <f>IF(O7=0,0,O9/O7*100)</f>
        <v>690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57.499999999999993</v>
      </c>
      <c r="M10" s="236"/>
      <c r="N10" s="675">
        <f>IF(M8=0,0,1/M8*N9)</f>
        <v>71.875</v>
      </c>
      <c r="O10" s="164"/>
      <c r="P10" s="597">
        <f>IF(O8=0,0,1/O8*P9)</f>
        <v>86.25</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73.599999999999994</v>
      </c>
      <c r="L11" s="584">
        <f>IF(L7=0,0,K11/L7*100)</f>
        <v>81.777777777777771</v>
      </c>
      <c r="M11" s="676">
        <f>M9*(100-N6)/100</f>
        <v>92</v>
      </c>
      <c r="N11" s="677">
        <f>IF(N7=0,0,M11/N7*100)</f>
        <v>102.22222222222221</v>
      </c>
      <c r="O11" s="583">
        <f>O9*(100-P6)/100</f>
        <v>110.4</v>
      </c>
      <c r="P11" s="584">
        <f>IF(P7=0,0,O11/P7*100)</f>
        <v>122.66666666666669</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10.222222222222221</v>
      </c>
      <c r="M12" s="666"/>
      <c r="N12" s="678">
        <f>IF(N8=0,0,1/N8*N11)</f>
        <v>12.777777777777777</v>
      </c>
      <c r="O12" s="414"/>
      <c r="P12" s="422">
        <f>IF(P8=0,0,1/P8*P11)</f>
        <v>15.333333333333336</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5.5</v>
      </c>
      <c r="L13" s="360"/>
      <c r="M13" s="419">
        <v>5.5</v>
      </c>
      <c r="N13" s="649"/>
      <c r="O13" s="419">
        <v>5.5</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9.1666666666666679</v>
      </c>
      <c r="L14" s="360"/>
      <c r="M14" s="679">
        <f>M13/$G14</f>
        <v>9.1666666666666679</v>
      </c>
      <c r="N14" s="649"/>
      <c r="O14" s="426">
        <f>O13/$G14</f>
        <v>9.1666666666666679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4047.9999999999995</v>
      </c>
      <c r="L15" s="360"/>
      <c r="M15" s="680">
        <f>M$11*M13*10</f>
        <v>5060</v>
      </c>
      <c r="N15" s="649"/>
      <c r="O15" s="417">
        <f>O$11*O13*10</f>
        <v>6072</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6746.6666666666679</v>
      </c>
      <c r="L16" s="359"/>
      <c r="M16" s="681">
        <f>M$11*M14*10</f>
        <v>8433.3333333333358</v>
      </c>
      <c r="N16" s="370"/>
      <c r="O16" s="418">
        <f>O$11*O14*10</f>
        <v>10120.000000000002</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72.225000000000009</v>
      </c>
      <c r="M27" s="669"/>
      <c r="N27" s="651">
        <f>SUM(N29:N30)</f>
        <v>72.225000000000009</v>
      </c>
      <c r="O27" s="272"/>
      <c r="P27" s="267">
        <f>SUM(P29:P30)</f>
        <v>72.225000000000009</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4.5</v>
      </c>
      <c r="I29" s="586">
        <f>H29*($H$27+100)/100</f>
        <v>4.8150000000000004</v>
      </c>
      <c r="J29" s="90"/>
      <c r="K29" s="382">
        <v>15</v>
      </c>
      <c r="L29" s="279">
        <f>$I29*K29</f>
        <v>72.225000000000009</v>
      </c>
      <c r="M29" s="382">
        <v>15</v>
      </c>
      <c r="N29" s="656">
        <f>$I29*M29</f>
        <v>72.225000000000009</v>
      </c>
      <c r="O29" s="382">
        <v>15</v>
      </c>
      <c r="P29" s="279">
        <f>$I29*O29</f>
        <v>72.225000000000009</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688.45212800000002</v>
      </c>
      <c r="M31" s="683"/>
      <c r="N31" s="651">
        <f>SUM(N33:N36)-N17</f>
        <v>860.56515999999988</v>
      </c>
      <c r="O31" s="276"/>
      <c r="P31" s="267">
        <f>SUM(P33:P36)-P17</f>
        <v>1032.6781920000001</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2.92</v>
      </c>
      <c r="H33" s="2985">
        <v>-1.75</v>
      </c>
      <c r="I33" s="3382"/>
      <c r="J33" s="3383"/>
      <c r="K33" s="278">
        <f>$G$33*K$9+($H$33*K$5)</f>
        <v>74.911999999999978</v>
      </c>
      <c r="L33" s="279">
        <f>K33*$E33</f>
        <v>267.43583999999993</v>
      </c>
      <c r="M33" s="684">
        <f>$G$33*M$9+($H$33*M$5)</f>
        <v>93.639999999999986</v>
      </c>
      <c r="N33" s="656">
        <f>M33*$E33</f>
        <v>334.29479999999995</v>
      </c>
      <c r="O33" s="278">
        <f>$G$33*O$9+($H$33*O$5)</f>
        <v>112.36799999999999</v>
      </c>
      <c r="P33" s="279">
        <f>O33*$E33</f>
        <v>401.15375999999998</v>
      </c>
      <c r="R33" s="3003" t="s">
        <v>1275</v>
      </c>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0.73</v>
      </c>
      <c r="H34" s="327"/>
      <c r="I34" s="3384"/>
      <c r="J34" s="3385"/>
      <c r="K34" s="278">
        <f>G34*$K$9+H34</f>
        <v>53.727999999999994</v>
      </c>
      <c r="L34" s="279">
        <f>K34*$E34</f>
        <v>139.3811776</v>
      </c>
      <c r="M34" s="684">
        <f>G34*$M$9+H34</f>
        <v>67.16</v>
      </c>
      <c r="N34" s="656">
        <f>M34*$E34</f>
        <v>174.226472</v>
      </c>
      <c r="O34" s="278">
        <f>G34*$O$9+H34</f>
        <v>80.591999999999999</v>
      </c>
      <c r="P34" s="279">
        <f>O34*$E34</f>
        <v>209.07176640000003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3.25</v>
      </c>
      <c r="H35" s="327"/>
      <c r="I35"/>
      <c r="J35" s="163"/>
      <c r="K35" s="278">
        <f>G35*$K$9+H35</f>
        <v>239.2</v>
      </c>
      <c r="L35" s="279">
        <f>K35*$E35</f>
        <v>222.02544</v>
      </c>
      <c r="M35" s="684">
        <f>G35*$M$9+H35</f>
        <v>299</v>
      </c>
      <c r="N35" s="656">
        <f>M35*$E35</f>
        <v>277.53180000000003</v>
      </c>
      <c r="O35" s="278">
        <f>G35*$O$9+H35</f>
        <v>358.8</v>
      </c>
      <c r="P35" s="279">
        <f>O35*$E35</f>
        <v>333.03816</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0.41</v>
      </c>
      <c r="H36" s="328"/>
      <c r="I36" s="36"/>
      <c r="J36" s="36"/>
      <c r="K36" s="280">
        <f>G36*$K$9+H36</f>
        <v>30.175999999999995</v>
      </c>
      <c r="L36" s="275">
        <f>K36*$E36</f>
        <v>59.609670399999985</v>
      </c>
      <c r="M36" s="685">
        <f>G36*$M$9+H36</f>
        <v>37.72</v>
      </c>
      <c r="N36" s="657">
        <f>M36*$E36</f>
        <v>74.512087999999991</v>
      </c>
      <c r="O36" s="280">
        <f>G36*$O$9+H36</f>
        <v>45.264000000000003</v>
      </c>
      <c r="P36" s="275">
        <f>O36*$E36</f>
        <v>89.414505599999998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144.90665208440001</v>
      </c>
      <c r="M42" s="687"/>
      <c r="N42" s="651">
        <f>SUM(N45:N55)</f>
        <v>174.5942165404</v>
      </c>
      <c r="O42" s="367"/>
      <c r="P42" s="267">
        <f>SUM(P45:P55)</f>
        <v>204.28178099640002</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4.6399999999999997</v>
      </c>
      <c r="L56" s="283"/>
      <c r="M56" s="662">
        <f>SUMPRODUCT(M45:M55,I45:I55)</f>
        <v>5.55</v>
      </c>
      <c r="N56" s="663"/>
      <c r="O56" s="282">
        <f>SUMPRODUCT(O45:O55,I45:I55)</f>
        <v>6.46</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7.887999999999999</v>
      </c>
      <c r="L57" s="285"/>
      <c r="M57" s="664">
        <f>IF($G$57%*M56&gt;=10,10+M56,M56*(1+$G$57%))</f>
        <v>9.4349999999999987</v>
      </c>
      <c r="N57" s="665"/>
      <c r="O57" s="284">
        <f>IF($G$57%*O56&gt;=10,10+O56,O56*(1+$G$57%))</f>
        <v>10.981999999999999</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1750.4533333333334</v>
      </c>
      <c r="M58" s="690"/>
      <c r="N58" s="651">
        <f>SUM(N60:N62)</f>
        <v>2188.0666666666666</v>
      </c>
      <c r="O58" s="286"/>
      <c r="P58" s="267">
        <f>SUM(P60:P62)</f>
        <v>2625.6800000000003</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816" t="s">
        <v>1117</v>
      </c>
      <c r="E60" s="58"/>
      <c r="F60" s="58"/>
      <c r="G60" s="58"/>
      <c r="H60" s="2992">
        <v>4.5</v>
      </c>
      <c r="I60" s="2820">
        <f>H60*($H$58+100)/100</f>
        <v>5.3550000000000004</v>
      </c>
      <c r="J60" s="341"/>
      <c r="K60" s="2818">
        <f>L11</f>
        <v>81.777777777777771</v>
      </c>
      <c r="L60" s="2039">
        <f>K60*I60</f>
        <v>437.92</v>
      </c>
      <c r="M60" s="2818">
        <f>N11</f>
        <v>102.22222222222221</v>
      </c>
      <c r="N60" s="2040">
        <f>M60*I60</f>
        <v>547.4</v>
      </c>
      <c r="O60" s="2818">
        <f>P11</f>
        <v>122.66666666666669</v>
      </c>
      <c r="P60" s="2039">
        <f>O60*I60</f>
        <v>656.88000000000011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2994" t="s">
        <v>1118</v>
      </c>
      <c r="E61" s="7"/>
      <c r="F61" s="7"/>
      <c r="G61" s="1312">
        <v>7</v>
      </c>
      <c r="H61" s="2993">
        <v>15</v>
      </c>
      <c r="I61" s="2821">
        <f>H61*($G61+100)/100</f>
        <v>16.05</v>
      </c>
      <c r="J61" s="163"/>
      <c r="K61" s="2819">
        <f>L11</f>
        <v>81.777777777777771</v>
      </c>
      <c r="L61" s="225">
        <f>K61*I61</f>
        <v>1312.5333333333333</v>
      </c>
      <c r="M61" s="2819">
        <f>N11</f>
        <v>102.22222222222221</v>
      </c>
      <c r="N61" s="691">
        <f>M61*I61</f>
        <v>1640.6666666666665</v>
      </c>
      <c r="O61" s="2819">
        <f>P11</f>
        <v>122.66666666666669</v>
      </c>
      <c r="P61" s="225">
        <f>O61*I61</f>
        <v>1968.8000000000004</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D61" sqref="D6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173953"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173954"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173955"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173956"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173957"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173958"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173959"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173960"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173961"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173962"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173963"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173964"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173965"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173966"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173967"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173968"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173969"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173970"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173971"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173972"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173973"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173974"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173975"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173976"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173977"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173978"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173979"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173980"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173981"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173982"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173983"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173984"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'KGCob(a)'!M2</f>
        <v>Kleegras kleebetont Cobs</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'KGCob(a)'!H3</f>
        <v xml:space="preserve">zweijähriges Kleegras, Blanksaat mit &gt; 50% Leguminosenanteil, 3-5 Schnitte, Transport und Trocknung im Lohn </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801"/>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800"/>
      <c r="J6" s="2800"/>
      <c r="K6" s="2800"/>
      <c r="L6" s="425" t="s">
        <v>72</v>
      </c>
      <c r="M6" s="258">
        <f>'KGCob(a)'!K5</f>
        <v>80</v>
      </c>
      <c r="N6" s="1290">
        <f>'KGCob(a)'!M5</f>
        <v>100</v>
      </c>
      <c r="O6" s="1298">
        <f>'KGCob(a)'!O5</f>
        <v>120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800"/>
      <c r="J7" s="2800"/>
      <c r="K7" s="2800"/>
      <c r="L7" s="425" t="s">
        <v>72</v>
      </c>
      <c r="M7" s="391">
        <f>'KGCob(a)'!K9</f>
        <v>73.599999999999994</v>
      </c>
      <c r="N7" s="1291">
        <f>'KGCob(a)'!M9</f>
        <v>92</v>
      </c>
      <c r="O7" s="1299">
        <f>'KGCob(a)'!O9</f>
        <v>110.4</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'KGCob(a)'!L9</f>
        <v>459.99999999999994</v>
      </c>
      <c r="N8" s="1292">
        <f>'KGCob(a)'!N9</f>
        <v>575</v>
      </c>
      <c r="O8" s="1201">
        <f>'KGCob(a)'!P9</f>
        <v>690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800"/>
      <c r="J9" s="2800"/>
      <c r="K9" s="2800"/>
      <c r="L9" s="425" t="s">
        <v>72</v>
      </c>
      <c r="M9" s="967">
        <f>'KGCob(a)'!K11</f>
        <v>73.599999999999994</v>
      </c>
      <c r="N9" s="1181">
        <f>'KGCob(a)'!M11</f>
        <v>92</v>
      </c>
      <c r="O9" s="1302">
        <f>'KGCob(a)'!O11</f>
        <v>110.4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800"/>
      <c r="J10" s="2800"/>
      <c r="K10" s="2800"/>
      <c r="L10" s="425" t="s">
        <v>376</v>
      </c>
      <c r="M10" s="1469">
        <f>'KGCob(a)'!L11</f>
        <v>81.777777777777771</v>
      </c>
      <c r="N10" s="1200">
        <f>'KGCob(a)'!N11</f>
        <v>102.22222222222221</v>
      </c>
      <c r="O10" s="1470">
        <f>'KGCob(a)'!P11</f>
        <v>122.66666666666669</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'KGCob(a)'!L12</f>
        <v>10.222222222222221</v>
      </c>
      <c r="N11" s="1358">
        <f>'KGCob(a)'!N12</f>
        <v>12.777777777777777</v>
      </c>
      <c r="O11" s="1359">
        <f>'KGCob(a)'!P12</f>
        <v>15.333333333333336</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'KGCob(a)'!K15</f>
        <v>4047.9999999999995</v>
      </c>
      <c r="N12" s="1293">
        <f>'KGCob(a)'!M15</f>
        <v>5060</v>
      </c>
      <c r="O12" s="1300">
        <f>'KGCob(a)'!O15</f>
        <v>6072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'KGCob(a)'!K16</f>
        <v>6746.6666666666679</v>
      </c>
      <c r="N13" s="1533">
        <f>'KGCob(a)'!M16</f>
        <v>8433.3333333333358</v>
      </c>
      <c r="O13" s="1534">
        <f>'KGCob(a)'!O16</f>
        <v>10120.000000000002</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'KGCob(a)'!L24</f>
        <v>270</v>
      </c>
      <c r="N15" s="2135">
        <f>'KGCob(a)'!N24</f>
        <v>270</v>
      </c>
      <c r="O15" s="2138">
        <f>'KGCob(a)'!P24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'KGCob(a)'!L18</f>
        <v>230</v>
      </c>
      <c r="N16" s="1291">
        <f>'KGCob(a)'!N18</f>
        <v>230</v>
      </c>
      <c r="O16" s="2140">
        <f>'KGCob(a)'!P18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'KGCob(a)'!L27</f>
        <v>72.225000000000009</v>
      </c>
      <c r="N19" s="1528">
        <f>'KGCob(a)'!N27</f>
        <v>72.225000000000009</v>
      </c>
      <c r="O19" s="1529">
        <f>'KGCob(a)'!P27</f>
        <v>72.225000000000009</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'KGCob(a)'!L31</f>
        <v>688.45212800000002</v>
      </c>
      <c r="N20" s="1186">
        <f>'KGCob(a)'!N31</f>
        <v>860.56515999999988</v>
      </c>
      <c r="O20" s="1192">
        <f>'KGCob(a)'!P31</f>
        <v>1032.6781920000001</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'KGCob(a)'!L37</f>
        <v>0</v>
      </c>
      <c r="N21" s="1186">
        <f>'KGCob(a)'!N37</f>
        <v>0</v>
      </c>
      <c r="O21" s="1192">
        <f>'KGCob(a)'!P37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'KGCob(a)'!L65</f>
        <v>0</v>
      </c>
      <c r="N22" s="1186">
        <f>'KGCob(a)'!N65</f>
        <v>0</v>
      </c>
      <c r="O22" s="1192">
        <f>'KGCob(a)'!P65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'KGCob(a)'!L67</f>
        <v>0</v>
      </c>
      <c r="N23" s="1186">
        <f>'KGCob(a)'!N67</f>
        <v>0</v>
      </c>
      <c r="O23" s="1192">
        <f>'KGCob(a)'!P67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'KGCob(a)'!L42</f>
        <v>144.90665208440001</v>
      </c>
      <c r="N24" s="1186">
        <f>'KGCob(a)'!N42</f>
        <v>174.5942165404</v>
      </c>
      <c r="O24" s="1192">
        <f>'KGCob(a)'!P42</f>
        <v>204.28178099640002</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'KGCob(a)'!L58</f>
        <v>1750.4533333333334</v>
      </c>
      <c r="N25" s="1186">
        <f>'KGCob(a)'!N58</f>
        <v>2188.0666666666666</v>
      </c>
      <c r="O25" s="1192">
        <f>'KGCob(a)'!P58</f>
        <v>2625.6800000000003</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'KGCob(a)'!L63</f>
        <v>0</v>
      </c>
      <c r="N26" s="1438">
        <f>'KGCob(a)'!N63</f>
        <v>0</v>
      </c>
      <c r="O26" s="1439">
        <f>'KGCob(a)'!P63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2656.0371134177335</v>
      </c>
      <c r="N27" s="1319">
        <f>SUM(N19:N26)</f>
        <v>3295.4510432070665</v>
      </c>
      <c r="O27" s="1511">
        <f>SUM(O19:O26)</f>
        <v>3934.8649729964004</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-2656.0371134177335</v>
      </c>
      <c r="N28" s="1321">
        <f>-N27</f>
        <v>-3295.4510432070665</v>
      </c>
      <c r="O28" s="1321">
        <f>-O27</f>
        <v>-3934.8649729964004</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-0.65613565054785916</v>
      </c>
      <c r="N29" s="1377">
        <f>IF(N$8=0,0,N$28/N$12)</f>
        <v>-0.65127490972471669</v>
      </c>
      <c r="O29" s="1377">
        <f>IF(O$8=0,0,O$28/O$12)</f>
        <v>-0.64803441584262189</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M27*'KGCob(a)'!$L$70*'KGCob(a)'!$P$70/12/100</f>
        <v>16.600231958860835</v>
      </c>
      <c r="N31" s="1438">
        <f>N27*'KGCob(a)'!$L$70*'KGCob(a)'!$P$70/12/100</f>
        <v>20.596569020044168</v>
      </c>
      <c r="O31" s="1439">
        <f>O27*'KGCob(a)'!$L$70*'KGCob(a)'!$P$70/12/100</f>
        <v>24.5929060812275</v>
      </c>
      <c r="P31" s="163"/>
      <c r="T31" s="7" t="s">
        <v>581</v>
      </c>
      <c r="U31" s="2121"/>
      <c r="V31" s="2121"/>
      <c r="W31" s="2121"/>
      <c r="X31" s="2121"/>
      <c r="Y31" s="2121"/>
      <c r="Z31" s="2116">
        <f>'KGCob(a)'!Q18+'KGCob(a)'!Q24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-2172.6373453765946</v>
      </c>
      <c r="N32" s="1313">
        <f>N28+N30-N31</f>
        <v>-2816.0476122271107</v>
      </c>
      <c r="O32" s="1320">
        <f>O28+O30-O31</f>
        <v>-3459.4578790776277</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-0.53671871180251851</v>
      </c>
      <c r="N33" s="1180">
        <f>IF(N12=0,0,N32/N12)</f>
        <v>-0.55653114866148434</v>
      </c>
      <c r="O33" s="1503">
        <f>IF(O12=0,0,O32/O12)</f>
        <v>-0.56973943990079512</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-0.322031227081511</v>
      </c>
      <c r="N34" s="1194">
        <f>IF(N13=0,0,N32/N13)</f>
        <v>-0.33391868919689049</v>
      </c>
      <c r="O34" s="1508">
        <f>IF(O13=0,0,O32/O13)</f>
        <v>-0.34184366394047699</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'KGCob(a)'!K57</f>
        <v>7.887999999999999</v>
      </c>
      <c r="N36" s="1771">
        <f>'KGCob(a)'!M57</f>
        <v>9.4349999999999987</v>
      </c>
      <c r="O36" s="1773">
        <f>'KGCob(a)'!O57</f>
        <v>10.981999999999999</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IF(M37=0,0,'Lager-Fläche'!$L$22)</f>
        <v>2.9839249999999997</v>
      </c>
      <c r="J37" s="218" t="s">
        <v>32</v>
      </c>
      <c r="K37" s="218"/>
      <c r="L37" s="1531" t="s">
        <v>378</v>
      </c>
      <c r="M37" s="1802">
        <f>'KGCob(a)'!L10</f>
        <v>57.499999999999993</v>
      </c>
      <c r="N37" s="1803">
        <f>'KGCob(a)'!N10</f>
        <v>71.875</v>
      </c>
      <c r="O37" s="1804">
        <f>'KGCob(a)'!P10</f>
        <v>86.25</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130.15199999999999</v>
      </c>
      <c r="N38" s="1186">
        <f>$J$38*N36</f>
        <v>155.67749999999998</v>
      </c>
      <c r="O38" s="1192">
        <f>$J$38*O36</f>
        <v>181.20299999999997</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171.57568749999996</v>
      </c>
      <c r="N39" s="1805">
        <f>N37*$I$37</f>
        <v>214.46960937499998</v>
      </c>
      <c r="O39" s="1801">
        <f>O37*$I$37</f>
        <v>257.36353124999999</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1094.9612165530302</v>
      </c>
      <c r="N44" s="1449">
        <f>SUM(N38:N43)</f>
        <v>1213.3806384280304</v>
      </c>
      <c r="O44" s="1452">
        <f>SUM(O38:O43)</f>
        <v>1331.8000603030302</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3767.5985619296248</v>
      </c>
      <c r="N47" s="1497">
        <f>N27+N31+N44</f>
        <v>4529.4282506551408</v>
      </c>
      <c r="O47" s="1536">
        <f>O27+O31+O44</f>
        <v>5291.2579393806582</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-3767.5985619296248</v>
      </c>
      <c r="N48" s="1667">
        <f>N46-N47</f>
        <v>-4529.4282506551408</v>
      </c>
      <c r="O48" s="1668">
        <f>O46-O47</f>
        <v>-5291.2579393806582</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-3267.5985619296248</v>
      </c>
      <c r="N50" s="1449">
        <f>N48+N49</f>
        <v>-4029.4282506551408</v>
      </c>
      <c r="O50" s="1452">
        <f>O48+O49</f>
        <v>-4791.2579393806582</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3267.5985619296248</v>
      </c>
      <c r="N52" s="1315">
        <f>N47-N49</f>
        <v>4029.4282506551408</v>
      </c>
      <c r="O52" s="2149">
        <f>O47-O49</f>
        <v>4791.2579393806582</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39.957047632291612</v>
      </c>
      <c r="N53" s="1740">
        <f>IF(N10=0,0,N$52/N10)</f>
        <v>39.418319843365509</v>
      </c>
      <c r="O53" s="1741">
        <f>IF(O10=0,0,O$52/O10)</f>
        <v>39.059167984081448</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44.396719591435122</v>
      </c>
      <c r="N54" s="1740">
        <f>IF(N9=0,0,N$52/N9)</f>
        <v>43.798133159295006</v>
      </c>
      <c r="O54" s="1741">
        <f>IF(O9=0,0,O$52/O9)</f>
        <v>43.399075537868278</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319.6563810583329</v>
      </c>
      <c r="N55" s="1740">
        <f t="shared" si="3"/>
        <v>315.34655874692407</v>
      </c>
      <c r="O55" s="1741">
        <f t="shared" si="3"/>
        <v>312.47334387265158</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0.80721308348063858</v>
      </c>
      <c r="N56" s="1659">
        <f t="shared" si="3"/>
        <v>0.79632969380536378</v>
      </c>
      <c r="O56" s="1660">
        <f t="shared" si="3"/>
        <v>0.78907410068851425</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0.48432785008838303</v>
      </c>
      <c r="N57" s="1659">
        <f t="shared" si="3"/>
        <v>0.47779781628321816</v>
      </c>
      <c r="O57" s="1660">
        <f t="shared" si="3"/>
        <v>0.47344446041310845</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0.2242258565223996</v>
      </c>
      <c r="N58" s="1662">
        <f>N52/$N$12*10/$F$58</f>
        <v>0.22120269272371218</v>
      </c>
      <c r="O58" s="1663">
        <f>O52/$O$12*10/$F$58</f>
        <v>0.21918725019125396</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3096.0228744296246</v>
      </c>
      <c r="N59" s="1313">
        <f>N52-N39</f>
        <v>3814.9586412801409</v>
      </c>
      <c r="O59" s="1320">
        <f>O52-O39</f>
        <v>4533.8944081306581</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42.065528185185123</v>
      </c>
      <c r="N60" s="2166">
        <f>N59/N7</f>
        <v>41.466941753045013</v>
      </c>
      <c r="O60" s="2167">
        <f>O59/O7</f>
        <v>41.067884131618278</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0.76482778518518402</v>
      </c>
      <c r="N61" s="1580">
        <f>IF(N12=0,0,N$59/N12)</f>
        <v>0.75394439550990922</v>
      </c>
      <c r="O61" s="1657">
        <f>IF(O12=0,0,O$59/O12)</f>
        <v>0.74668880239305968</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0.21245216255144</v>
      </c>
      <c r="N62" s="1580">
        <f>N59/$N$12*10/$F$58</f>
        <v>0.20942899875275256</v>
      </c>
      <c r="O62" s="2171">
        <f>O59/$O$12*10/$F$58</f>
        <v>0.20741355622029437</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0.45889667111111027</v>
      </c>
      <c r="N63" s="1377">
        <f>IF(N13=0,0,N$59/N13)</f>
        <v>0.45236663730594545</v>
      </c>
      <c r="O63" s="1488">
        <f>IF(O13=0,0,O$59/O13)</f>
        <v>0.44801328143583569</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777.27735995886087</v>
      </c>
      <c r="N65" s="1316">
        <f>SUM(N19:N23)+N31</f>
        <v>953.38672902004407</v>
      </c>
      <c r="O65" s="1317">
        <f>SUM(O19:O23)+O31</f>
        <v>1129.4960980812275</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0.192015158092604</v>
      </c>
      <c r="N66" s="1377">
        <f>N65/N12</f>
        <v>0.18841634960870438</v>
      </c>
      <c r="O66" s="1488">
        <f>O65/O12</f>
        <v>0.18601714395277133</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2464.6593289267635</v>
      </c>
      <c r="N67" s="1494">
        <f>N24+N25+N26+N40+N38</f>
        <v>2927.7981622600964</v>
      </c>
      <c r="O67" s="1495">
        <f>O24+O25+O26+O40+O38</f>
        <v>3420.6245600494303</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0.60885852987321243</v>
      </c>
      <c r="N68" s="1612">
        <f>N67/N12</f>
        <v>0.5786162376008096</v>
      </c>
      <c r="O68" s="1631">
        <f>O67/O12</f>
        <v>0.5633439657525412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M40" sqref="M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9" tint="-0.249977111117893"/>
    <pageSetUpPr fitToPage="1"/>
  </sheetPr>
  <dimension ref="A2:Y116"/>
  <sheetViews>
    <sheetView zoomScale="44" zoomScaleNormal="44" zoomScaleSheetLayoutView="36" workbookViewId="0"/>
  </sheetViews>
  <sheetFormatPr baseColWidth="10" defaultRowHeight="12.9" x14ac:dyDescent="0.2"/>
  <cols>
    <col min="1" max="1" width="62.625" customWidth="1"/>
    <col min="2" max="2" width="7" customWidth="1"/>
    <col min="3" max="3" width="8.125" customWidth="1"/>
    <col min="4" max="4" width="5.625" customWidth="1"/>
    <col min="5" max="5" width="6.375" customWidth="1"/>
    <col min="6" max="7" width="6.5" customWidth="1"/>
    <col min="8" max="10" width="6.625" customWidth="1"/>
    <col min="11" max="11" width="7" customWidth="1"/>
    <col min="12" max="19" width="10.875" customWidth="1"/>
    <col min="20" max="20" width="12.5" customWidth="1"/>
    <col min="21" max="21" width="14.375" bestFit="1" customWidth="1"/>
    <col min="22" max="22" width="7.5" customWidth="1"/>
    <col min="23" max="23" width="15.375" customWidth="1"/>
    <col min="24" max="24" width="15.625" customWidth="1"/>
    <col min="25" max="25" width="21" bestFit="1" customWidth="1"/>
    <col min="26" max="26" width="16.125" bestFit="1" customWidth="1"/>
  </cols>
  <sheetData>
    <row r="2" spans="1:25" ht="34.65" customHeight="1" x14ac:dyDescent="0.5">
      <c r="A2" s="3190" t="s">
        <v>1120</v>
      </c>
      <c r="B2" s="3190"/>
      <c r="C2" s="3190"/>
      <c r="D2" s="3190"/>
      <c r="E2" s="3190"/>
      <c r="F2" s="3190"/>
      <c r="G2" s="3190"/>
      <c r="H2" s="3190"/>
      <c r="I2" s="3190"/>
      <c r="J2" s="3190"/>
      <c r="K2" s="3190"/>
      <c r="L2" s="3190"/>
      <c r="M2" s="3190"/>
      <c r="N2" s="3190"/>
      <c r="O2" s="3190"/>
      <c r="P2" s="3190"/>
      <c r="Q2" s="3190"/>
      <c r="R2" s="3190"/>
      <c r="S2" s="3190"/>
      <c r="T2" s="3190"/>
      <c r="U2" s="3190"/>
      <c r="W2" s="3191" t="s">
        <v>1284</v>
      </c>
      <c r="X2" s="3191"/>
      <c r="Y2" s="3191"/>
    </row>
    <row r="3" spans="1:25" ht="60.45" customHeight="1" x14ac:dyDescent="0.2">
      <c r="A3" s="3051" t="str">
        <f>"Alle Produktionsverfahren "&amp;Preise!$AJ$5</f>
        <v>Alle Produktionsverfahren mit MwSt.</v>
      </c>
      <c r="W3" s="3191"/>
      <c r="X3" s="3191"/>
      <c r="Y3" s="3191"/>
    </row>
    <row r="4" spans="1:25" ht="12.9" customHeight="1" x14ac:dyDescent="0.2">
      <c r="B4" s="1132"/>
      <c r="C4" s="1132"/>
      <c r="D4" s="1132"/>
      <c r="E4" s="1132"/>
      <c r="F4" s="1132"/>
      <c r="G4" s="1132"/>
      <c r="H4" s="1132"/>
      <c r="I4" s="1132"/>
      <c r="J4" s="1132"/>
      <c r="K4" s="1132"/>
      <c r="L4" s="1132"/>
      <c r="M4" s="1132"/>
      <c r="N4" s="1132"/>
      <c r="O4" s="1132"/>
      <c r="P4" s="1132"/>
      <c r="Q4" s="1132"/>
      <c r="R4" s="1132"/>
      <c r="S4" s="1132"/>
      <c r="W4" s="3191"/>
      <c r="X4" s="3191"/>
      <c r="Y4" s="3191"/>
    </row>
    <row r="5" spans="1:25" ht="12.9" customHeight="1" x14ac:dyDescent="0.2">
      <c r="W5" s="3191"/>
      <c r="X5" s="3191"/>
      <c r="Y5" s="3191"/>
    </row>
    <row r="6" spans="1:25" ht="12.9" customHeight="1" x14ac:dyDescent="0.2">
      <c r="W6" s="3191"/>
      <c r="X6" s="3191"/>
      <c r="Y6" s="3191"/>
    </row>
    <row r="7" spans="1:25" ht="12.9" customHeight="1" x14ac:dyDescent="0.2">
      <c r="W7" s="3191"/>
      <c r="X7" s="3191"/>
      <c r="Y7" s="3191"/>
    </row>
    <row r="8" spans="1:25" ht="12.9" customHeight="1" x14ac:dyDescent="0.2">
      <c r="W8" s="3191"/>
      <c r="X8" s="3191"/>
      <c r="Y8" s="3191"/>
    </row>
    <row r="9" spans="1:25" ht="12.9" customHeight="1" x14ac:dyDescent="0.2">
      <c r="W9" s="3191"/>
      <c r="X9" s="3191"/>
      <c r="Y9" s="3191"/>
    </row>
    <row r="10" spans="1:25" ht="28.55" customHeight="1" thickBot="1" x14ac:dyDescent="0.25">
      <c r="W10" s="3191"/>
      <c r="X10" s="3191"/>
      <c r="Y10" s="3191"/>
    </row>
    <row r="11" spans="1:25" ht="78.150000000000006" customHeight="1" x14ac:dyDescent="0.25">
      <c r="B11" s="1132" t="str">
        <f>'Übersicht Tab.'!E4</f>
        <v>3 Nutz. Grünf.</v>
      </c>
      <c r="C11" s="1132" t="str">
        <f>'Übersicht Tab.'!F4</f>
        <v>4 Nutz. Grünf.</v>
      </c>
      <c r="D11" s="1132" t="str">
        <f>'Übersicht Tab.'!G4</f>
        <v>3 Nutz. Fahrsilo</v>
      </c>
      <c r="E11" s="1132" t="str">
        <f>'Übersicht Tab.'!H4</f>
        <v>4 Nutz. Fahrsilo</v>
      </c>
      <c r="F11" s="1132" t="str">
        <f>'Übersicht Tab.'!K4</f>
        <v>2 Nutz. Heuballen</v>
      </c>
      <c r="G11" s="1132" t="str">
        <f>'Übersicht Tab.'!L4</f>
        <v>3 Nutz. Heuballen</v>
      </c>
      <c r="H11" s="1132" t="str">
        <f>'Übersicht Tab.'!M4</f>
        <v xml:space="preserve"> 4 Nutz. HeuTrock</v>
      </c>
      <c r="I11" s="1132" t="str">
        <f>'Übersicht Tab.'!N4</f>
        <v>Standw. ext.</v>
      </c>
      <c r="J11" s="1132" t="str">
        <f>'Übersicht Tab.'!O4</f>
        <v>Umtriebsweide</v>
      </c>
      <c r="K11" s="1132" t="str">
        <f>'Übersicht Tab.'!P4</f>
        <v>Portionsweide</v>
      </c>
      <c r="L11" s="1132" t="str">
        <f>'Übersicht Tab.'!S3</f>
        <v xml:space="preserve">Kleegras grün Klee-betont </v>
      </c>
      <c r="M11" s="1132" t="str">
        <f>'Übersicht Tab.'!V3</f>
        <v xml:space="preserve">Kleegras Silage Gras-betont </v>
      </c>
      <c r="N11" s="1132" t="str">
        <f>'Übersicht Tab.'!Y3</f>
        <v>Kleegras Cobs Klee-betont</v>
      </c>
      <c r="O11" s="1132" t="str">
        <f>'Übersicht Tab.'!AB3</f>
        <v>Luzerne grün (reine Luzerne)</v>
      </c>
      <c r="P11" s="1132" t="str">
        <f>'Übersicht Tab.'!AE3</f>
        <v>Luzerne Heu getr. (reine Luzerne)</v>
      </c>
      <c r="Q11" s="2291" t="str">
        <f>'Übersicht Tab.'!AH3</f>
        <v xml:space="preserve">Silomais </v>
      </c>
      <c r="R11" s="2291" t="str">
        <f>'Übersicht Tab.'!AK3</f>
        <v>Ganzpflanzensilage Gerste-Erbsen (50:50)</v>
      </c>
      <c r="S11" s="2291" t="str">
        <f>'Übersicht Tab.'!AN3</f>
        <v>Landsberger Gemenge Zwfr. Silage</v>
      </c>
      <c r="T11" s="1412" t="s">
        <v>182</v>
      </c>
      <c r="U11" s="1412" t="s">
        <v>752</v>
      </c>
      <c r="W11" s="3191"/>
      <c r="X11" s="3191"/>
      <c r="Y11" s="3191"/>
    </row>
    <row r="12" spans="1:25" ht="15.65" x14ac:dyDescent="0.25">
      <c r="A12" t="s">
        <v>289</v>
      </c>
      <c r="B12" s="1132">
        <f>'Übersicht Tab.'!E49</f>
        <v>0.27719048793522472</v>
      </c>
      <c r="C12" s="1132">
        <f>'Übersicht Tab.'!F49</f>
        <v>0.35395158144514932</v>
      </c>
      <c r="D12" s="1132">
        <f>'Übersicht Tab.'!G49</f>
        <v>0.35993007051266429</v>
      </c>
      <c r="E12" s="1132">
        <f>'Übersicht Tab.'!H49</f>
        <v>0.41119350100461716</v>
      </c>
      <c r="F12" s="1132">
        <f>'Übersicht Tab.'!K49</f>
        <v>0.3988612269493389</v>
      </c>
      <c r="G12" s="1132">
        <f>'Übersicht Tab.'!L49</f>
        <v>0.44802724343465022</v>
      </c>
      <c r="H12" s="1132">
        <f>'Übersicht Tab.'!M49</f>
        <v>0.58496170857861474</v>
      </c>
      <c r="I12" s="1132">
        <f>'Übersicht Tab.'!N49</f>
        <v>0.1062832845711084</v>
      </c>
      <c r="J12" s="1132">
        <f>'Übersicht Tab.'!O49</f>
        <v>0.10435997578069663</v>
      </c>
      <c r="K12" s="1132">
        <f>'Übersicht Tab.'!P49</f>
        <v>0.16280037346183487</v>
      </c>
      <c r="L12" s="1132">
        <f>'Übersicht Tab.'!T49</f>
        <v>0.34317513318848902</v>
      </c>
      <c r="M12" s="1132">
        <f>'Übersicht Tab.'!W49</f>
        <v>0.49297588945093174</v>
      </c>
      <c r="N12" s="1132">
        <f>'Übersicht Tab.'!Z49</f>
        <v>0.79632969380536378</v>
      </c>
      <c r="O12" s="1132">
        <f>'Übersicht Tab.'!AC49</f>
        <v>0.34019581870326243</v>
      </c>
      <c r="P12" s="1132">
        <f>'Übersicht Tab.'!AF49</f>
        <v>0.58211194977836411</v>
      </c>
      <c r="Q12" s="1414">
        <f>'Übersicht Tab.'!AI49</f>
        <v>0.33025237431023624</v>
      </c>
      <c r="R12" s="1414">
        <f>'Übersicht Tab.'!AL49</f>
        <v>0.40212674285091188</v>
      </c>
      <c r="S12" s="1414">
        <f>'Übersicht Tab.'!AO49</f>
        <v>0.41680947214015751</v>
      </c>
      <c r="T12" s="1413">
        <f>T116</f>
        <v>0.4513888888888889</v>
      </c>
      <c r="U12" s="1413">
        <f>U116</f>
        <v>0.61194029850746268</v>
      </c>
      <c r="W12" s="3191"/>
      <c r="X12" s="3191"/>
      <c r="Y12" s="3191"/>
    </row>
    <row r="13" spans="1:25" x14ac:dyDescent="0.2">
      <c r="W13" s="3191"/>
      <c r="X13" s="3191"/>
      <c r="Y13" s="3191"/>
    </row>
    <row r="14" spans="1:25" x14ac:dyDescent="0.2">
      <c r="W14" s="3191"/>
      <c r="X14" s="3191"/>
      <c r="Y14" s="3191"/>
    </row>
    <row r="15" spans="1:25" x14ac:dyDescent="0.2">
      <c r="W15" s="3191"/>
      <c r="X15" s="3191"/>
      <c r="Y15" s="3191"/>
    </row>
    <row r="16" spans="1:25" x14ac:dyDescent="0.2">
      <c r="W16" s="3191"/>
      <c r="X16" s="3191"/>
      <c r="Y16" s="3191"/>
    </row>
    <row r="17" spans="23:25" x14ac:dyDescent="0.2">
      <c r="W17" s="3191"/>
      <c r="X17" s="3191"/>
      <c r="Y17" s="3191"/>
    </row>
    <row r="18" spans="23:25" x14ac:dyDescent="0.2">
      <c r="W18" s="3191"/>
      <c r="X18" s="3191"/>
      <c r="Y18" s="3191"/>
    </row>
    <row r="19" spans="23:25" x14ac:dyDescent="0.2">
      <c r="W19" s="3191"/>
      <c r="X19" s="3191"/>
      <c r="Y19" s="3191"/>
    </row>
    <row r="20" spans="23:25" x14ac:dyDescent="0.2">
      <c r="W20" s="3191"/>
      <c r="X20" s="3191"/>
      <c r="Y20" s="3191"/>
    </row>
    <row r="21" spans="23:25" x14ac:dyDescent="0.2">
      <c r="W21" s="3191"/>
      <c r="X21" s="3191"/>
      <c r="Y21" s="3191"/>
    </row>
    <row r="22" spans="23:25" x14ac:dyDescent="0.2">
      <c r="W22" s="3191"/>
      <c r="X22" s="3191"/>
      <c r="Y22" s="3191"/>
    </row>
    <row r="23" spans="23:25" x14ac:dyDescent="0.2">
      <c r="W23" s="3191"/>
      <c r="X23" s="3191"/>
      <c r="Y23" s="3191"/>
    </row>
    <row r="24" spans="23:25" x14ac:dyDescent="0.2">
      <c r="W24" s="3191"/>
      <c r="X24" s="3191"/>
      <c r="Y24" s="3191"/>
    </row>
    <row r="25" spans="23:25" x14ac:dyDescent="0.2">
      <c r="W25" s="3191"/>
      <c r="X25" s="3191"/>
      <c r="Y25" s="3191"/>
    </row>
    <row r="28" spans="23:25" x14ac:dyDescent="0.2">
      <c r="W28" s="3192" t="s">
        <v>1285</v>
      </c>
      <c r="X28" s="3192"/>
      <c r="Y28" s="3192"/>
    </row>
    <row r="29" spans="23:25" x14ac:dyDescent="0.2">
      <c r="W29" s="3192"/>
      <c r="X29" s="3192"/>
      <c r="Y29" s="3192"/>
    </row>
    <row r="30" spans="23:25" x14ac:dyDescent="0.2">
      <c r="W30" s="3192"/>
      <c r="X30" s="3192"/>
      <c r="Y30" s="3192"/>
    </row>
    <row r="31" spans="23:25" x14ac:dyDescent="0.2">
      <c r="W31" s="3192"/>
      <c r="X31" s="3192"/>
      <c r="Y31" s="3192"/>
    </row>
    <row r="32" spans="23:25" x14ac:dyDescent="0.2">
      <c r="W32" s="3192"/>
      <c r="X32" s="3192"/>
      <c r="Y32" s="3192"/>
    </row>
    <row r="33" spans="23:25" x14ac:dyDescent="0.2">
      <c r="W33" s="3192"/>
      <c r="X33" s="3192"/>
      <c r="Y33" s="3192"/>
    </row>
    <row r="34" spans="23:25" x14ac:dyDescent="0.2">
      <c r="W34" s="3192"/>
      <c r="X34" s="3192"/>
      <c r="Y34" s="3192"/>
    </row>
    <row r="35" spans="23:25" x14ac:dyDescent="0.2">
      <c r="W35" s="3192"/>
      <c r="X35" s="3192"/>
      <c r="Y35" s="3192"/>
    </row>
    <row r="36" spans="23:25" x14ac:dyDescent="0.2">
      <c r="W36" s="3192"/>
      <c r="X36" s="3192"/>
      <c r="Y36" s="3192"/>
    </row>
    <row r="37" spans="23:25" x14ac:dyDescent="0.2">
      <c r="W37" s="3192"/>
      <c r="X37" s="3192"/>
      <c r="Y37" s="3192"/>
    </row>
    <row r="38" spans="23:25" x14ac:dyDescent="0.2">
      <c r="W38" s="3192"/>
      <c r="X38" s="3192"/>
      <c r="Y38" s="3192"/>
    </row>
    <row r="39" spans="23:25" x14ac:dyDescent="0.2">
      <c r="W39" s="3192"/>
      <c r="X39" s="3192"/>
      <c r="Y39" s="3192"/>
    </row>
    <row r="40" spans="23:25" x14ac:dyDescent="0.2">
      <c r="W40" s="3192"/>
      <c r="X40" s="3192"/>
      <c r="Y40" s="3192"/>
    </row>
    <row r="41" spans="23:25" x14ac:dyDescent="0.2">
      <c r="W41" s="3192"/>
      <c r="X41" s="3192"/>
      <c r="Y41" s="3192"/>
    </row>
    <row r="42" spans="23:25" x14ac:dyDescent="0.2">
      <c r="W42" s="3192"/>
      <c r="X42" s="3192"/>
      <c r="Y42" s="3192"/>
    </row>
    <row r="43" spans="23:25" x14ac:dyDescent="0.2">
      <c r="W43" s="3192"/>
      <c r="X43" s="3192"/>
      <c r="Y43" s="3192"/>
    </row>
    <row r="44" spans="23:25" x14ac:dyDescent="0.2">
      <c r="W44" s="3192"/>
      <c r="X44" s="3192"/>
      <c r="Y44" s="3192"/>
    </row>
    <row r="45" spans="23:25" x14ac:dyDescent="0.2">
      <c r="W45" s="3192"/>
      <c r="X45" s="3192"/>
      <c r="Y45" s="3192"/>
    </row>
    <row r="46" spans="23:25" x14ac:dyDescent="0.2">
      <c r="W46" s="3192"/>
      <c r="X46" s="3192"/>
      <c r="Y46" s="3192"/>
    </row>
    <row r="47" spans="23:25" x14ac:dyDescent="0.2">
      <c r="W47" s="3192"/>
      <c r="X47" s="3192"/>
      <c r="Y47" s="3192"/>
    </row>
    <row r="52" ht="53" customHeight="1" x14ac:dyDescent="0.2"/>
    <row r="111" spans="20:21" ht="23.1" customHeight="1" thickBot="1" x14ac:dyDescent="0.25"/>
    <row r="112" spans="20:21" ht="23.1" x14ac:dyDescent="0.35">
      <c r="T112" s="2310" t="s">
        <v>182</v>
      </c>
      <c r="U112" s="2302" t="s">
        <v>752</v>
      </c>
    </row>
    <row r="113" spans="9:21" ht="24.45" x14ac:dyDescent="0.35">
      <c r="I113" s="2300" t="s">
        <v>179</v>
      </c>
      <c r="J113" s="2300"/>
      <c r="K113" s="2300"/>
      <c r="L113" s="2300"/>
      <c r="M113" s="2300"/>
      <c r="N113" s="2300" t="s">
        <v>178</v>
      </c>
      <c r="O113" s="2300"/>
      <c r="P113" s="2300"/>
      <c r="Q113" s="2300"/>
      <c r="R113" s="2301"/>
      <c r="S113" s="2301"/>
      <c r="T113" s="2303">
        <v>30</v>
      </c>
      <c r="U113" s="2306">
        <v>41</v>
      </c>
    </row>
    <row r="114" spans="9:21" ht="24.45" x14ac:dyDescent="0.35">
      <c r="I114" s="2300" t="s">
        <v>77</v>
      </c>
      <c r="J114" s="2300"/>
      <c r="K114" s="2300"/>
      <c r="L114" s="2300"/>
      <c r="M114" s="2300"/>
      <c r="N114" s="2300" t="s">
        <v>178</v>
      </c>
      <c r="O114" s="2300"/>
      <c r="P114" s="2300"/>
      <c r="Q114" s="2300"/>
      <c r="R114" s="2301"/>
      <c r="S114" s="2301"/>
      <c r="T114" s="2303">
        <v>2.5</v>
      </c>
      <c r="U114" s="2307"/>
    </row>
    <row r="115" spans="9:21" ht="24.45" x14ac:dyDescent="0.35">
      <c r="I115" s="2300" t="s">
        <v>180</v>
      </c>
      <c r="J115" s="2300"/>
      <c r="K115" s="2300"/>
      <c r="L115" s="2300"/>
      <c r="M115" s="2300"/>
      <c r="N115" s="2300" t="s">
        <v>753</v>
      </c>
      <c r="O115" s="2300"/>
      <c r="P115" s="2300"/>
      <c r="Q115" s="2300"/>
      <c r="R115" s="2301"/>
      <c r="S115" s="2301"/>
      <c r="T115" s="2304">
        <v>720</v>
      </c>
      <c r="U115" s="2308">
        <v>670</v>
      </c>
    </row>
    <row r="116" spans="9:21" ht="25.85" thickBot="1" x14ac:dyDescent="0.45">
      <c r="I116" s="2300" t="s">
        <v>181</v>
      </c>
      <c r="J116" s="2300"/>
      <c r="K116" s="2300"/>
      <c r="L116" s="2300"/>
      <c r="M116" s="2300"/>
      <c r="N116" s="2300" t="s">
        <v>158</v>
      </c>
      <c r="O116" s="2300"/>
      <c r="P116" s="2300"/>
      <c r="Q116" s="2300"/>
      <c r="R116" s="2301"/>
      <c r="S116" s="2301"/>
      <c r="T116" s="2305">
        <f>(T113+T114)/T115*10</f>
        <v>0.4513888888888889</v>
      </c>
      <c r="U116" s="2309">
        <f>(U113+U114)/U115*10</f>
        <v>0.61194029850746268</v>
      </c>
    </row>
  </sheetData>
  <sheetProtection sheet="1" objects="1" scenarios="1"/>
  <customSheetViews>
    <customSheetView guid="{32760361-675F-4FBF-A5CA-B0597C10371F}" scale="44" fitToPage="1">
      <selection activeCell="X109" sqref="X109"/>
      <rowBreaks count="1" manualBreakCount="1">
        <brk id="67" max="16383" man="1"/>
      </rowBreaks>
      <pageMargins left="0.39370078740157483" right="0.23" top="0.59055118110236227" bottom="0.68" header="0.51181102362204722" footer="0.51181102362204722"/>
      <printOptions horizontalCentered="1" verticalCentered="1"/>
      <pageSetup paperSize="9" scale="40" orientation="portrait" r:id="rId1"/>
      <headerFooter alignWithMargins="0">
        <oddFooter>&amp;L&amp;14LEL Schwäbisch Gmünd, Abtlg. II
LAZBW Aulendorf&amp;C&amp;14 11a&amp;R&amp;14&amp;F   &amp;A</oddFooter>
      </headerFooter>
    </customSheetView>
  </customSheetViews>
  <mergeCells count="3">
    <mergeCell ref="A2:U2"/>
    <mergeCell ref="W2:Y25"/>
    <mergeCell ref="W28:Y47"/>
  </mergeCells>
  <phoneticPr fontId="0" type="noConversion"/>
  <printOptions horizontalCentered="1" verticalCentered="1"/>
  <pageMargins left="0.39370078740157483" right="0.23" top="0.59055118110236227" bottom="0.68" header="0.51181102362204722" footer="0.51181102362204722"/>
  <pageSetup paperSize="9" scale="40" orientation="portrait" r:id="rId2"/>
  <headerFooter alignWithMargins="0">
    <oddFooter>&amp;L&amp;14LEL Schwäbisch Gmünd, Abtlg. II
LAZBW Aulendorf&amp;C&amp;14 11a&amp;R&amp;14&amp;F   &amp;A</oddFooter>
  </headerFooter>
  <rowBreaks count="1" manualBreakCount="1">
    <brk id="67" max="16383" man="1"/>
  </rowBreaks>
  <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CA73"/>
  <sheetViews>
    <sheetView showGridLines="0" showZeros="0" zoomScale="90" zoomScaleNormal="72" workbookViewId="0">
      <pane xSplit="10" ySplit="5" topLeftCell="K18"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5" style="7" bestFit="1"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1212</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1211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60</v>
      </c>
      <c r="L5" s="359"/>
      <c r="M5" s="2935">
        <v>80</v>
      </c>
      <c r="N5" s="1687"/>
      <c r="O5" s="2935">
        <v>100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57</v>
      </c>
      <c r="L9" s="596">
        <f>IF(K7=0,0,K9/K7*100)</f>
        <v>356.25</v>
      </c>
      <c r="M9" s="673">
        <f>M5*(100-M6)/100</f>
        <v>76</v>
      </c>
      <c r="N9" s="674">
        <f>IF(M7=0,0,M9/M7*100)</f>
        <v>475</v>
      </c>
      <c r="O9" s="595">
        <f>O5*(100-O6)/100</f>
        <v>95</v>
      </c>
      <c r="P9" s="596">
        <f>IF(O7=0,0,O9/O7*100)</f>
        <v>593.75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57</v>
      </c>
      <c r="L11" s="584">
        <f>IF(L7=0,0,K11/L7*100)</f>
        <v>356.25</v>
      </c>
      <c r="M11" s="676">
        <f>M9*(100-N6)/100</f>
        <v>76</v>
      </c>
      <c r="N11" s="677">
        <f>IF(N7=0,0,M11/N7*100)</f>
        <v>475</v>
      </c>
      <c r="O11" s="583">
        <f>O9*(100-P6)/100</f>
        <v>95</v>
      </c>
      <c r="P11" s="584">
        <f>IF(P7=0,0,O11/P7*100)</f>
        <v>593.75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5.8</v>
      </c>
      <c r="L13" s="360"/>
      <c r="M13" s="419">
        <v>5.8</v>
      </c>
      <c r="N13" s="649"/>
      <c r="O13" s="419">
        <v>5.8</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9.6666666666666661</v>
      </c>
      <c r="L14" s="360"/>
      <c r="M14" s="679">
        <f>M13/$G14</f>
        <v>9.6666666666666661</v>
      </c>
      <c r="N14" s="649"/>
      <c r="O14" s="426">
        <f>O13/$G14</f>
        <v>9.6666666666666661</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3305.9999999999995</v>
      </c>
      <c r="L15" s="360"/>
      <c r="M15" s="680">
        <f>M$11*M13*10</f>
        <v>4408</v>
      </c>
      <c r="N15" s="649"/>
      <c r="O15" s="417">
        <f>O$11*O13*10</f>
        <v>5510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5510</v>
      </c>
      <c r="L16" s="359"/>
      <c r="M16" s="681">
        <f>M$11*M14*10</f>
        <v>7346.6666666666661</v>
      </c>
      <c r="N16" s="370"/>
      <c r="O16" s="418">
        <f>O$11*O14*10</f>
        <v>9183.3333333333321</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99.509999999999991</v>
      </c>
      <c r="M27" s="669"/>
      <c r="N27" s="651">
        <f>SUM(N29:N30)</f>
        <v>99.509999999999991</v>
      </c>
      <c r="O27" s="272"/>
      <c r="P27" s="267">
        <f>SUM(P29:P30)</f>
        <v>99.509999999999991</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6.2</v>
      </c>
      <c r="I29" s="586">
        <f>H29*($H$27+100)/100</f>
        <v>6.6339999999999995</v>
      </c>
      <c r="J29" s="90"/>
      <c r="K29" s="382">
        <v>15</v>
      </c>
      <c r="L29" s="279">
        <f>$I29*K29</f>
        <v>99.509999999999991</v>
      </c>
      <c r="M29" s="382">
        <v>15</v>
      </c>
      <c r="N29" s="656">
        <f>$I29*M29</f>
        <v>99.509999999999991</v>
      </c>
      <c r="O29" s="382">
        <v>15</v>
      </c>
      <c r="P29" s="279">
        <f>$I29*O29</f>
        <v>99.509999999999991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327.87436920000005</v>
      </c>
      <c r="M31" s="683"/>
      <c r="N31" s="651">
        <f>SUM(N33:N36)-N17</f>
        <v>437.16582560000006</v>
      </c>
      <c r="O31" s="276"/>
      <c r="P31" s="267">
        <f>SUM(P33:P36)-P17</f>
        <v>546.45728199999985</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3.27</v>
      </c>
      <c r="H33" s="2985">
        <v>-3.1</v>
      </c>
      <c r="I33" s="3382"/>
      <c r="J33" s="3383"/>
      <c r="K33" s="278">
        <f>$G$33*K$9+($H$33*K$5)</f>
        <v>0.39000000000001478</v>
      </c>
      <c r="L33" s="279">
        <f>K33*$E33</f>
        <v>1.3923000000000527</v>
      </c>
      <c r="M33" s="684">
        <f>$G$33*M$9+($H$33*M$5)</f>
        <v>0.52000000000001023</v>
      </c>
      <c r="N33" s="656">
        <f>M33*$E33</f>
        <v>1.8564000000000365</v>
      </c>
      <c r="O33" s="278">
        <f>$G$33*O$9+($H$33*O$5)</f>
        <v>0.64999999999997726</v>
      </c>
      <c r="P33" s="279">
        <f>O33*$E33</f>
        <v>2.3204999999999187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0.73</v>
      </c>
      <c r="H34" s="327"/>
      <c r="I34" s="3384"/>
      <c r="J34" s="3385"/>
      <c r="K34" s="278">
        <f>G34*$K$9+H34</f>
        <v>41.61</v>
      </c>
      <c r="L34" s="279">
        <f>K34*$E34</f>
        <v>107.94466200000001</v>
      </c>
      <c r="M34" s="684">
        <f>G34*$M$9+H34</f>
        <v>55.48</v>
      </c>
      <c r="N34" s="656">
        <f>M34*$E34</f>
        <v>143.92621600000001</v>
      </c>
      <c r="O34" s="278">
        <f>G34*$O$9+H34</f>
        <v>69.349999999999994</v>
      </c>
      <c r="P34" s="279">
        <f>O34*$E34</f>
        <v>179.90777</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3.258</v>
      </c>
      <c r="H35" s="327"/>
      <c r="I35"/>
      <c r="J35" s="163"/>
      <c r="K35" s="278">
        <f>G35*$K$9+H35</f>
        <v>185.70599999999999</v>
      </c>
      <c r="L35" s="279">
        <f>K35*$E35</f>
        <v>172.37230919999999</v>
      </c>
      <c r="M35" s="684">
        <f>G35*$M$9+H35</f>
        <v>247.608</v>
      </c>
      <c r="N35" s="656">
        <f>M35*$E35</f>
        <v>229.82974560000002</v>
      </c>
      <c r="O35" s="278">
        <f>G35*$O$9+H35</f>
        <v>309.51</v>
      </c>
      <c r="P35" s="279">
        <f>O35*$E35</f>
        <v>287.28718199999997</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0.41</v>
      </c>
      <c r="H36" s="328"/>
      <c r="I36" s="36"/>
      <c r="J36" s="36"/>
      <c r="K36" s="280">
        <f>G36*$K$9+H36</f>
        <v>23.369999999999997</v>
      </c>
      <c r="L36" s="275">
        <f>K36*$E36</f>
        <v>46.165097999999993</v>
      </c>
      <c r="M36" s="685">
        <f>G36*$M$9+H36</f>
        <v>31.159999999999997</v>
      </c>
      <c r="N36" s="657">
        <f>M36*$E36</f>
        <v>61.553463999999991</v>
      </c>
      <c r="O36" s="280">
        <f>G36*$O$9+H36</f>
        <v>38.949999999999996</v>
      </c>
      <c r="P36" s="275">
        <f>O36*$E36</f>
        <v>76.941829999999982</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233.17068599240002</v>
      </c>
      <c r="M42" s="687"/>
      <c r="N42" s="651">
        <f>SUM(N45:N55)</f>
        <v>292.2795950844</v>
      </c>
      <c r="O42" s="367"/>
      <c r="P42" s="267">
        <f>SUM(P45:P55)</f>
        <v>351.38850417639998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29</v>
      </c>
      <c r="C52" s="103"/>
      <c r="D52" s="132"/>
      <c r="E52" s="8"/>
      <c r="F52" s="8"/>
      <c r="G52" s="607"/>
      <c r="H52" s="602">
        <f>IF($B52=0,0,VLOOKUP($B52,Arbeitsgänge!$B$26:$T$79,6))</f>
        <v>67</v>
      </c>
      <c r="I52" s="603">
        <f>IF($B52=0,0,VLOOKUP($B52,Arbeitsgänge!$B$26:$T$79,11))</f>
        <v>3.07</v>
      </c>
      <c r="J52" s="401">
        <f>IF($B52=0,0,VLOOKUP($B52,Arbeitsgänge!$B$26:$T$79,12))</f>
        <v>59.108909092000005</v>
      </c>
      <c r="K52" s="316">
        <v>3</v>
      </c>
      <c r="L52" s="279">
        <f t="shared" si="0"/>
        <v>177.32672727600001</v>
      </c>
      <c r="M52" s="316">
        <v>4</v>
      </c>
      <c r="N52" s="656">
        <f t="shared" si="0"/>
        <v>236.43563636800002</v>
      </c>
      <c r="O52" s="316">
        <v>5</v>
      </c>
      <c r="P52" s="279">
        <f t="shared" si="0"/>
        <v>295.54454545999999</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34</v>
      </c>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34</v>
      </c>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11.12</v>
      </c>
      <c r="L56" s="283"/>
      <c r="M56" s="662">
        <f>SUMPRODUCT(M45:M55,I45:I55)</f>
        <v>14.19</v>
      </c>
      <c r="N56" s="663"/>
      <c r="O56" s="282">
        <f>SUMPRODUCT(O45:O55,I45:I55)</f>
        <v>17.259999999999998</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18.904</v>
      </c>
      <c r="L57" s="285"/>
      <c r="M57" s="664">
        <f>IF($G$57%*M56&gt;=10,10+M56,M56*(1+$G$57%))</f>
        <v>24.122999999999998</v>
      </c>
      <c r="N57" s="665"/>
      <c r="O57" s="284">
        <f>IF($G$57%*O56&gt;=10,10+O56,O56*(1+$G$57%))</f>
        <v>27.259999999999998</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816"/>
      <c r="E60" s="58"/>
      <c r="F60" s="58"/>
      <c r="G60" s="58"/>
      <c r="H60" s="2036"/>
      <c r="I60" s="2820">
        <f>H60*($H$58+100)/100</f>
        <v>0</v>
      </c>
      <c r="J60" s="341"/>
      <c r="K60" s="2818"/>
      <c r="L60" s="2039">
        <f>K60*I60</f>
        <v>0</v>
      </c>
      <c r="M60" s="2818"/>
      <c r="N60" s="2040">
        <f>M60*I60</f>
        <v>0</v>
      </c>
      <c r="O60" s="281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2817"/>
      <c r="E61" s="7"/>
      <c r="F61" s="7"/>
      <c r="G61" s="7">
        <v>7</v>
      </c>
      <c r="H61" s="1717"/>
      <c r="I61" s="2821">
        <f>H61*($G61+100)/100</f>
        <v>0</v>
      </c>
      <c r="J61" s="163"/>
      <c r="K61" s="2819"/>
      <c r="L61" s="225">
        <f>K61*I61</f>
        <v>0</v>
      </c>
      <c r="M61" s="2819"/>
      <c r="N61" s="691">
        <f>M61*I61</f>
        <v>0</v>
      </c>
      <c r="O61" s="2819"/>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18" activePane="bottomRight" state="frozen"/>
      <selection pane="bottomRight" activeCell="J35" sqref="J35"/>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306049"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306050"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306051"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306052"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306053"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306054"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306055"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306056"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306057"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306058"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306059"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306060"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306061"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306062"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306063"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306064"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306065"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306066"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306067"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306068"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306069"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306070"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306071"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306072"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306073"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306074"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306075"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306076"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306077"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306078"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306079"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306080"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'LuzGrün(a)'!M2</f>
        <v>Luzerne (rein) Grünfutter</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'LuzGrün(a)'!H3</f>
        <v xml:space="preserve">zweijährige Luzerne, 3-5 Schnitte, Ernte als Grünfutter </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968"/>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966"/>
      <c r="J6" s="2966"/>
      <c r="K6" s="2966"/>
      <c r="L6" s="425" t="s">
        <v>72</v>
      </c>
      <c r="M6" s="258">
        <f>'LuzGrün(a)'!K5</f>
        <v>60</v>
      </c>
      <c r="N6" s="1290">
        <f>'LuzGrün(a)'!M5</f>
        <v>80</v>
      </c>
      <c r="O6" s="1298">
        <f>'LuzGrün(a)'!O5</f>
        <v>100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966"/>
      <c r="J7" s="2966"/>
      <c r="K7" s="2966"/>
      <c r="L7" s="425" t="s">
        <v>72</v>
      </c>
      <c r="M7" s="391">
        <f>'LuzGrün(a)'!K9</f>
        <v>57</v>
      </c>
      <c r="N7" s="1291">
        <f>'LuzGrün(a)'!M9</f>
        <v>76</v>
      </c>
      <c r="O7" s="1299">
        <f>'LuzGrün(a)'!O9</f>
        <v>95</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'LuzGrün(a)'!L9</f>
        <v>356.25</v>
      </c>
      <c r="N8" s="1292">
        <f>'LuzGrün(a)'!N9</f>
        <v>475</v>
      </c>
      <c r="O8" s="1201">
        <f>'LuzGrün(a)'!P9</f>
        <v>593.75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966"/>
      <c r="J9" s="2966"/>
      <c r="K9" s="2966"/>
      <c r="L9" s="425" t="s">
        <v>72</v>
      </c>
      <c r="M9" s="967">
        <f>'LuzGrün(a)'!K11</f>
        <v>57</v>
      </c>
      <c r="N9" s="1181">
        <f>'LuzGrün(a)'!M11</f>
        <v>76</v>
      </c>
      <c r="O9" s="1302">
        <f>'LuzGrün(a)'!O11</f>
        <v>95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966"/>
      <c r="J10" s="2966"/>
      <c r="K10" s="2966"/>
      <c r="L10" s="425" t="s">
        <v>376</v>
      </c>
      <c r="M10" s="1469">
        <f>'LuzGrün(a)'!L11</f>
        <v>356.25</v>
      </c>
      <c r="N10" s="1200">
        <f>'LuzGrün(a)'!N11</f>
        <v>475</v>
      </c>
      <c r="O10" s="1470">
        <f>'LuzGrün(a)'!P11</f>
        <v>593.75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'LuzGrün(a)'!L12</f>
        <v>0</v>
      </c>
      <c r="N11" s="1358">
        <f>'LuzGrün(a)'!N12</f>
        <v>0</v>
      </c>
      <c r="O11" s="1359">
        <f>'LuzGrün(a)'!P12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'LuzGrün(a)'!K15</f>
        <v>3305.9999999999995</v>
      </c>
      <c r="N12" s="1293">
        <f>'LuzGrün(a)'!M15</f>
        <v>4408</v>
      </c>
      <c r="O12" s="1300">
        <f>'LuzGrün(a)'!O15</f>
        <v>5510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'LuzGrün(a)'!K16</f>
        <v>5510</v>
      </c>
      <c r="N13" s="1533">
        <f>'LuzGrün(a)'!M16</f>
        <v>7346.6666666666661</v>
      </c>
      <c r="O13" s="1534">
        <f>'LuzGrün(a)'!O16</f>
        <v>9183.3333333333321</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967"/>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'LuzGrün(a)'!L24</f>
        <v>270</v>
      </c>
      <c r="N15" s="2135">
        <f>'LuzGrün(a)'!N24</f>
        <v>270</v>
      </c>
      <c r="O15" s="2138">
        <f>'LuzGrün(a)'!P24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'LuzGrün(a)'!L18</f>
        <v>230</v>
      </c>
      <c r="N16" s="1291">
        <f>'LuzGrün(a)'!N18</f>
        <v>230</v>
      </c>
      <c r="O16" s="2140">
        <f>'LuzGrün(a)'!P18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'LuzGrün(a)'!L27</f>
        <v>99.509999999999991</v>
      </c>
      <c r="N19" s="1528">
        <f>'LuzGrün(a)'!N27</f>
        <v>99.509999999999991</v>
      </c>
      <c r="O19" s="1529">
        <f>'LuzGrün(a)'!P27</f>
        <v>99.509999999999991</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'LuzGrün(a)'!L31</f>
        <v>327.87436920000005</v>
      </c>
      <c r="N20" s="1186">
        <f>'LuzGrün(a)'!N31</f>
        <v>437.16582560000006</v>
      </c>
      <c r="O20" s="1192">
        <f>'LuzGrün(a)'!P31</f>
        <v>546.45728199999985</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'LuzGrün(a)'!L37</f>
        <v>0</v>
      </c>
      <c r="N21" s="1186">
        <f>'LuzGrün(a)'!N37</f>
        <v>0</v>
      </c>
      <c r="O21" s="1192">
        <f>'LuzGrün(a)'!P37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'LuzGrün(a)'!L65</f>
        <v>0</v>
      </c>
      <c r="N22" s="1186">
        <f>'LuzGrün(a)'!N65</f>
        <v>0</v>
      </c>
      <c r="O22" s="1192">
        <f>'LuzGrün(a)'!P65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'LuzGrün(a)'!L67</f>
        <v>0</v>
      </c>
      <c r="N23" s="1186">
        <f>'LuzGrün(a)'!N67</f>
        <v>0</v>
      </c>
      <c r="O23" s="1192">
        <f>'LuzGrün(a)'!P67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'LuzGrün(a)'!L42</f>
        <v>233.17068599240002</v>
      </c>
      <c r="N24" s="1186">
        <f>'LuzGrün(a)'!N42</f>
        <v>292.2795950844</v>
      </c>
      <c r="O24" s="1192">
        <f>'LuzGrün(a)'!P42</f>
        <v>351.38850417639998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'LuzGrün(a)'!L58</f>
        <v>0</v>
      </c>
      <c r="N25" s="1186">
        <f>'LuzGrün(a)'!N58</f>
        <v>0</v>
      </c>
      <c r="O25" s="1192">
        <f>'LuzGrün(a)'!P58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'LuzGrün(a)'!L63</f>
        <v>0</v>
      </c>
      <c r="N26" s="1438">
        <f>'LuzGrün(a)'!N63</f>
        <v>0</v>
      </c>
      <c r="O26" s="1439">
        <f>'LuzGrün(a)'!P63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660.5550551924</v>
      </c>
      <c r="N27" s="1319">
        <f>SUM(N19:N26)</f>
        <v>828.9554206844</v>
      </c>
      <c r="O27" s="1511">
        <f>SUM(O19:O26)</f>
        <v>997.35578617639976</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-660.5550551924</v>
      </c>
      <c r="N28" s="1321">
        <f>-N27</f>
        <v>-828.9554206844</v>
      </c>
      <c r="O28" s="1321">
        <f>-O27</f>
        <v>-997.35578617639976</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-0.19980491687610408</v>
      </c>
      <c r="N29" s="1377">
        <f>IF(N$8=0,0,N$28/N$12)</f>
        <v>-0.18805703736034482</v>
      </c>
      <c r="O29" s="1377">
        <f>IF(O$8=0,0,O$28/O$12)</f>
        <v>-0.18100830965088924</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M27*'LuzGrün(a)'!$L$70*'LuzGrün(a)'!$P$70/12/100</f>
        <v>4.1284690949525</v>
      </c>
      <c r="N31" s="1438">
        <f>N27*'LuzGrün(a)'!$L$70*'LuzGrün(a)'!$P$70/12/100</f>
        <v>5.1809713792774996</v>
      </c>
      <c r="O31" s="1439">
        <f>O27*'LuzGrün(a)'!$L$70*'LuzGrün(a)'!$P$70/12/100</f>
        <v>6.2334736636024983</v>
      </c>
      <c r="P31" s="163"/>
      <c r="T31" s="7" t="s">
        <v>581</v>
      </c>
      <c r="U31" s="2121"/>
      <c r="V31" s="2121"/>
      <c r="W31" s="2121"/>
      <c r="X31" s="2121"/>
      <c r="Y31" s="2121"/>
      <c r="Z31" s="2116">
        <f>'LuzGrün(a)'!Q18+'LuzGrün(a)'!Q24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-164.6835242873525</v>
      </c>
      <c r="N32" s="1313">
        <f>N28+N30-N31</f>
        <v>-334.13639206367748</v>
      </c>
      <c r="O32" s="1320">
        <f>O28+O30-O31</f>
        <v>-503.58925984000228</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-4.9813528217589997E-2</v>
      </c>
      <c r="N33" s="1180">
        <f>IF(N12=0,0,N32/N12)</f>
        <v>-7.5802266802104695E-2</v>
      </c>
      <c r="O33" s="1503">
        <f>IF(O12=0,0,O32/O12)</f>
        <v>-9.1395509952813481E-2</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-2.9888116930553991E-2</v>
      </c>
      <c r="N34" s="1194">
        <f>IF(N13=0,0,N32/N13)</f>
        <v>-4.5481360081262821E-2</v>
      </c>
      <c r="O34" s="1508">
        <f>IF(O13=0,0,O32/O13)</f>
        <v>-5.4837305971688094E-2</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'LuzGrün(a)'!K57</f>
        <v>18.904</v>
      </c>
      <c r="N36" s="1771">
        <f>'LuzGrün(a)'!M57</f>
        <v>24.122999999999998</v>
      </c>
      <c r="O36" s="1773">
        <f>'LuzGrün(a)'!O57</f>
        <v>27.259999999999998</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IF(M37=0,0,'Lager-Fläche'!$L$22)</f>
        <v>0</v>
      </c>
      <c r="J37" s="218" t="s">
        <v>32</v>
      </c>
      <c r="K37" s="218"/>
      <c r="L37" s="1531" t="s">
        <v>378</v>
      </c>
      <c r="M37" s="1802">
        <f>'LuzGrün(a)'!L10</f>
        <v>0</v>
      </c>
      <c r="N37" s="1803">
        <f>'LuzGrün(a)'!N10</f>
        <v>0</v>
      </c>
      <c r="O37" s="1804">
        <f>'LuzGrün(a)'!P10</f>
        <v>0</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311.916</v>
      </c>
      <c r="N38" s="1186">
        <f>$J$38*N36</f>
        <v>398.02949999999998</v>
      </c>
      <c r="O38" s="1192">
        <f>$J$38*O36</f>
        <v>449.78999999999996</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Maschinen!$X$43-(Maschinen!$X$29+Maschinen!$X$31+Maschinen!$X$32)</f>
        <v>333.64352678030309</v>
      </c>
      <c r="N40" s="1186">
        <f>Maschinen!$X$43-(Maschinen!$X$29+Maschinen!$X$31+Maschinen!$X$32)</f>
        <v>333.64352678030309</v>
      </c>
      <c r="O40" s="1192">
        <f>Maschinen!$X$43-(Maschinen!$X$29+Maschinen!$X$31+Maschinen!$X$32)</f>
        <v>333.64352678030309</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1029.3332767803031</v>
      </c>
      <c r="N44" s="1449">
        <f>SUM(N38:N43)</f>
        <v>1165.4467767803033</v>
      </c>
      <c r="O44" s="1452">
        <f>SUM(O38:O43)</f>
        <v>1267.2072767803031</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1694.0168010676557</v>
      </c>
      <c r="N47" s="1497">
        <f>N27+N31+N44</f>
        <v>1999.5831688439807</v>
      </c>
      <c r="O47" s="1536">
        <f>O27+O31+O44</f>
        <v>2270.7965366203052</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-1694.0168010676557</v>
      </c>
      <c r="N48" s="1667">
        <f>N46-N47</f>
        <v>-1999.5831688439807</v>
      </c>
      <c r="O48" s="1668">
        <f>O46-O47</f>
        <v>-2270.7965366203052</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-1194.0168010676557</v>
      </c>
      <c r="N50" s="1449">
        <f>N48+N49</f>
        <v>-1499.5831688439807</v>
      </c>
      <c r="O50" s="1452">
        <f>O48+O49</f>
        <v>-1770.7965366203052</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1194.0168010676557</v>
      </c>
      <c r="N52" s="1315">
        <f>N47-N49</f>
        <v>1499.5831688439807</v>
      </c>
      <c r="O52" s="2149">
        <f>O47-O49</f>
        <v>1770.7965366203052</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3.3516261082600862</v>
      </c>
      <c r="N53" s="1740">
        <f>IF(N10=0,0,N$52/N10)</f>
        <v>3.1570171975662751</v>
      </c>
      <c r="O53" s="1741">
        <f>IF(O10=0,0,O$52/O10)</f>
        <v>2.9823941669394616</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20.947663176625539</v>
      </c>
      <c r="N54" s="1740">
        <f>IF(N9=0,0,N$52/N9)</f>
        <v>19.731357484789221</v>
      </c>
      <c r="O54" s="1741">
        <f>IF(O9=0,0,O$52/O9)</f>
        <v>18.639963543371636</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0.36116660649354382</v>
      </c>
      <c r="N56" s="1659">
        <f t="shared" si="3"/>
        <v>0.34019581870326243</v>
      </c>
      <c r="O56" s="1660">
        <f t="shared" si="3"/>
        <v>0.32137868178226953</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0.21669996389612625</v>
      </c>
      <c r="N57" s="1659">
        <f t="shared" si="3"/>
        <v>0.20411749122195746</v>
      </c>
      <c r="O57" s="1660">
        <f t="shared" si="3"/>
        <v>0.19282720906936177</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0.10032405735931772</v>
      </c>
      <c r="N58" s="1662">
        <f>N52/$N$12*10/$F$58</f>
        <v>9.4498838528684015E-2</v>
      </c>
      <c r="O58" s="1663">
        <f>O52/$O$12*10/$F$58</f>
        <v>8.9271856050630427E-2</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1194.0168010676557</v>
      </c>
      <c r="N59" s="1313">
        <f>N52-N39</f>
        <v>1499.5831688439807</v>
      </c>
      <c r="O59" s="1320">
        <f>O52-O39</f>
        <v>1770.7965366203052</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20.947663176625539</v>
      </c>
      <c r="N60" s="2166">
        <f>N59/N7</f>
        <v>19.731357484789221</v>
      </c>
      <c r="O60" s="2167">
        <f>O59/O7</f>
        <v>18.639963543371636</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0.36116660649354382</v>
      </c>
      <c r="N61" s="1580">
        <f>IF(N12=0,0,N$59/N12)</f>
        <v>0.34019581870326243</v>
      </c>
      <c r="O61" s="1657">
        <f>IF(O12=0,0,O$59/O12)</f>
        <v>0.32137868178226953</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0.10032405735931772</v>
      </c>
      <c r="N62" s="1580">
        <f>N59/$N$12*10/$F$58</f>
        <v>9.4498838528684015E-2</v>
      </c>
      <c r="O62" s="2171">
        <f>O59/$O$12*10/$F$58</f>
        <v>8.9271856050630427E-2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0.21669996389612625</v>
      </c>
      <c r="N63" s="1377">
        <f>IF(N13=0,0,N$59/N13)</f>
        <v>0.20411749122195746</v>
      </c>
      <c r="O63" s="1488">
        <f>IF(O13=0,0,O$59/O13)</f>
        <v>0.19282720906936177</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431.51283829495253</v>
      </c>
      <c r="N65" s="1316">
        <f>SUM(N19:N23)+N31</f>
        <v>541.85679697927753</v>
      </c>
      <c r="O65" s="1317">
        <f>SUM(O19:O23)+O31</f>
        <v>652.20075566360231</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0.13052414951450472</v>
      </c>
      <c r="N66" s="1377">
        <f>N65/N12</f>
        <v>0.12292577063958202</v>
      </c>
      <c r="O66" s="1488">
        <f>O65/O12</f>
        <v>0.11836674331462836</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937.83912186470297</v>
      </c>
      <c r="N67" s="1494">
        <f>N24+N25+N26+N40+N38</f>
        <v>1023.952621864703</v>
      </c>
      <c r="O67" s="1495">
        <f>O24+O25+O26+O40+O38</f>
        <v>1134.822030956703</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0.28367789530087811</v>
      </c>
      <c r="N68" s="1612">
        <f>N67/N12</f>
        <v>0.23229415196567674</v>
      </c>
      <c r="O68" s="1631">
        <f>O67/O12</f>
        <v>0.20595681142589892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N40" sqref="N40"/>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5" style="7" bestFit="1"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1213</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1214</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60</v>
      </c>
      <c r="L5" s="359"/>
      <c r="M5" s="2935">
        <v>80</v>
      </c>
      <c r="N5" s="1687"/>
      <c r="O5" s="2935">
        <v>100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10</v>
      </c>
      <c r="L6" s="581">
        <v>5</v>
      </c>
      <c r="M6" s="577">
        <v>10</v>
      </c>
      <c r="N6" s="581">
        <v>5</v>
      </c>
      <c r="O6" s="577">
        <v>10</v>
      </c>
      <c r="P6" s="581">
        <v>5</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82</v>
      </c>
      <c r="L7" s="581">
        <v>86</v>
      </c>
      <c r="M7" s="577">
        <v>82</v>
      </c>
      <c r="N7" s="581">
        <v>86</v>
      </c>
      <c r="O7" s="577">
        <v>82</v>
      </c>
      <c r="P7" s="581">
        <v>86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1.8</v>
      </c>
      <c r="L8" s="582">
        <v>1.8</v>
      </c>
      <c r="M8" s="578">
        <v>1.8</v>
      </c>
      <c r="N8" s="582">
        <v>1.8</v>
      </c>
      <c r="O8" s="578">
        <v>1.8</v>
      </c>
      <c r="P8" s="582">
        <v>1.8</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54</v>
      </c>
      <c r="L9" s="596">
        <f>IF(K7=0,0,K9/K7*100)</f>
        <v>65.853658536585371</v>
      </c>
      <c r="M9" s="673">
        <f>M5*(100-M6)/100</f>
        <v>72</v>
      </c>
      <c r="N9" s="674">
        <f>IF(M7=0,0,M9/M7*100)</f>
        <v>87.804878048780495</v>
      </c>
      <c r="O9" s="595">
        <f>O5*(100-O6)/100</f>
        <v>90</v>
      </c>
      <c r="P9" s="596">
        <f>IF(O7=0,0,O9/O7*100)</f>
        <v>109.75609756097562</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36.585365853658544</v>
      </c>
      <c r="M10" s="236"/>
      <c r="N10" s="675">
        <f>IF(M8=0,0,1/M8*N9)</f>
        <v>48.780487804878057</v>
      </c>
      <c r="O10" s="164"/>
      <c r="P10" s="597">
        <f>IF(O8=0,0,1/O8*P9)</f>
        <v>60.975609756097569</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51.3</v>
      </c>
      <c r="L11" s="584">
        <f>IF(L7=0,0,K11/L7*100)</f>
        <v>59.651162790697676</v>
      </c>
      <c r="M11" s="676">
        <f>M9*(100-N6)/100</f>
        <v>68.400000000000006</v>
      </c>
      <c r="N11" s="677">
        <f>IF(N7=0,0,M11/N7*100)</f>
        <v>79.534883720930239</v>
      </c>
      <c r="O11" s="583">
        <f>O9*(100-P6)/100</f>
        <v>85.5</v>
      </c>
      <c r="P11" s="584">
        <f>IF(P7=0,0,O11/P7*100)</f>
        <v>99.418604651162795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33.139534883720934</v>
      </c>
      <c r="M12" s="666"/>
      <c r="N12" s="678">
        <f>IF(N8=0,0,1/N8*N11)</f>
        <v>44.186046511627914</v>
      </c>
      <c r="O12" s="414"/>
      <c r="P12" s="422">
        <f>IF(P8=0,0,1/P8*P11)</f>
        <v>55.232558139534888</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5.2</v>
      </c>
      <c r="L13" s="360"/>
      <c r="M13" s="419">
        <v>5.2</v>
      </c>
      <c r="N13" s="649"/>
      <c r="O13" s="419">
        <v>5.2</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8.6666666666666679</v>
      </c>
      <c r="L14" s="360"/>
      <c r="M14" s="679">
        <f>M13/$G14</f>
        <v>8.6666666666666679</v>
      </c>
      <c r="N14" s="649"/>
      <c r="O14" s="426">
        <f>O13/$G14</f>
        <v>8.6666666666666679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2667.6</v>
      </c>
      <c r="L15" s="360"/>
      <c r="M15" s="680">
        <f>M$11*M13*10</f>
        <v>3556.8000000000006</v>
      </c>
      <c r="N15" s="649"/>
      <c r="O15" s="417">
        <f>O$11*O13*10</f>
        <v>4446</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4446</v>
      </c>
      <c r="L16" s="359"/>
      <c r="M16" s="681">
        <f>M$11*M14*10</f>
        <v>5928.0000000000018</v>
      </c>
      <c r="N16" s="370"/>
      <c r="O16" s="418">
        <f>O$11*O14*10</f>
        <v>7410.0000000000009</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99.509999999999991</v>
      </c>
      <c r="M27" s="669"/>
      <c r="N27" s="651">
        <f>SUM(N29:N30)</f>
        <v>99.509999999999991</v>
      </c>
      <c r="O27" s="272"/>
      <c r="P27" s="267">
        <f>SUM(P29:P30)</f>
        <v>99.509999999999991</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6.2</v>
      </c>
      <c r="I29" s="586">
        <f>H29*($H$27+100)/100</f>
        <v>6.6339999999999995</v>
      </c>
      <c r="J29" s="90"/>
      <c r="K29" s="382">
        <v>15</v>
      </c>
      <c r="L29" s="279">
        <f>$I29*K29</f>
        <v>99.509999999999991</v>
      </c>
      <c r="M29" s="382">
        <v>15</v>
      </c>
      <c r="N29" s="656">
        <f>$I29*M29</f>
        <v>99.509999999999991</v>
      </c>
      <c r="O29" s="382">
        <v>15</v>
      </c>
      <c r="P29" s="279">
        <f>$I29*O29</f>
        <v>99.509999999999991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6">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275.66940240000002</v>
      </c>
      <c r="M31" s="683"/>
      <c r="N31" s="651">
        <f>SUM(N33:N36)-N17</f>
        <v>367.55920320000001</v>
      </c>
      <c r="O31" s="276"/>
      <c r="P31" s="267">
        <f>SUM(P33:P36)-P17</f>
        <v>459.44900400000006</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3.27</v>
      </c>
      <c r="H33" s="2985">
        <v>-3.1</v>
      </c>
      <c r="I33" s="3382"/>
      <c r="J33" s="3383"/>
      <c r="K33" s="278">
        <f>$G$33*K$9+($H$33*K$5)</f>
        <v>-9.4199999999999875</v>
      </c>
      <c r="L33" s="279">
        <f>K33*$E33</f>
        <v>-33.629399999999954</v>
      </c>
      <c r="M33" s="684">
        <f>$G$33*M$9+($H$33*M$5)</f>
        <v>-12.560000000000002</v>
      </c>
      <c r="N33" s="656">
        <f>M33*$E33</f>
        <v>-44.839200000000005</v>
      </c>
      <c r="O33" s="278">
        <f>$G$33*O$9+($H$33*O$5)</f>
        <v>-15.699999999999989</v>
      </c>
      <c r="P33" s="279">
        <f>O33*$E33</f>
        <v>-56.048999999999957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0.73</v>
      </c>
      <c r="H34" s="327"/>
      <c r="I34" s="3384"/>
      <c r="J34" s="3385"/>
      <c r="K34" s="278">
        <f>G34*$K$9+H34</f>
        <v>39.42</v>
      </c>
      <c r="L34" s="279">
        <f>K34*$E34</f>
        <v>102.26336400000001</v>
      </c>
      <c r="M34" s="684">
        <f>G34*$M$9+H34</f>
        <v>52.56</v>
      </c>
      <c r="N34" s="656">
        <f>M34*$E34</f>
        <v>136.35115200000001</v>
      </c>
      <c r="O34" s="278">
        <f>G34*$O$9+H34</f>
        <v>65.7</v>
      </c>
      <c r="P34" s="279">
        <f>O34*$E34</f>
        <v>170.43894000000003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3.258</v>
      </c>
      <c r="H35" s="327"/>
      <c r="I35"/>
      <c r="J35" s="163"/>
      <c r="K35" s="278">
        <f>G35*$K$9+H35</f>
        <v>175.93199999999999</v>
      </c>
      <c r="L35" s="279">
        <f>K35*$E35</f>
        <v>163.30008239999998</v>
      </c>
      <c r="M35" s="684">
        <f>G35*$M$9+H35</f>
        <v>234.57599999999999</v>
      </c>
      <c r="N35" s="656">
        <f>M35*$E35</f>
        <v>217.73344320000001</v>
      </c>
      <c r="O35" s="278">
        <f>G35*$O$9+H35</f>
        <v>293.22000000000003</v>
      </c>
      <c r="P35" s="279">
        <f>O35*$E35</f>
        <v>272.16680400000001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0.41</v>
      </c>
      <c r="H36" s="328"/>
      <c r="I36" s="36"/>
      <c r="J36" s="36"/>
      <c r="K36" s="280">
        <f>G36*$K$9+H36</f>
        <v>22.139999999999997</v>
      </c>
      <c r="L36" s="275">
        <f>K36*$E36</f>
        <v>43.735355999999989</v>
      </c>
      <c r="M36" s="685">
        <f>G36*$M$9+H36</f>
        <v>29.52</v>
      </c>
      <c r="N36" s="657">
        <f>M36*$E36</f>
        <v>58.313807999999995</v>
      </c>
      <c r="O36" s="280">
        <f>G36*$O$9+H36</f>
        <v>36.9</v>
      </c>
      <c r="P36" s="275">
        <f>O36*$E36</f>
        <v>72.892259999999993</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144.90665208440001</v>
      </c>
      <c r="M42" s="687"/>
      <c r="N42" s="651">
        <f>SUM(N45:N55)</f>
        <v>174.5942165404</v>
      </c>
      <c r="O42" s="367"/>
      <c r="P42" s="267">
        <f>SUM(P45:P55)</f>
        <v>204.28178099640002</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03"/>
      <c r="D45" s="132"/>
      <c r="E45" s="8"/>
      <c r="F45" s="8"/>
      <c r="G45" s="607"/>
      <c r="H45" s="602">
        <f>IF($B45=0,0,VLOOKUP($B45,Arbeitsgänge!$B$26:$T$79,6))</f>
        <v>102</v>
      </c>
      <c r="I45" s="603">
        <f>IF($B45=0,0,VLOOKUP($B45,Arbeitsgänge!$B$26:$T$79,11))</f>
        <v>0.78</v>
      </c>
      <c r="J45" s="401">
        <f>IF($B45=0,0,VLOOKUP($B45,Arbeitsgänge!$B$26:$T$79,12))</f>
        <v>26.338674124000004</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0.5</v>
      </c>
      <c r="L46" s="279">
        <f t="shared" ref="L46:P55" si="0">K46*$J46</f>
        <v>23.455396719999996</v>
      </c>
      <c r="M46" s="316">
        <v>0.5</v>
      </c>
      <c r="N46" s="656">
        <f t="shared" si="0"/>
        <v>23.455396719999996</v>
      </c>
      <c r="O46" s="316">
        <v>0.5</v>
      </c>
      <c r="P46" s="279">
        <f t="shared" si="0"/>
        <v>23.455396719999996</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6</v>
      </c>
      <c r="C47" s="103"/>
      <c r="D47" s="132"/>
      <c r="E47" s="8"/>
      <c r="F47" s="8"/>
      <c r="G47" s="607"/>
      <c r="H47" s="602">
        <f>IF($B47=0,0,VLOOKUP($B47,Arbeitsgänge!$B$26:$T$79,6))</f>
        <v>102</v>
      </c>
      <c r="I47" s="603">
        <f>IF($B47=0,0,VLOOKUP($B47,Arbeitsgänge!$B$26:$T$79,11))</f>
        <v>0.76</v>
      </c>
      <c r="J47" s="401">
        <f>IF($B47=0,0,VLOOKUP($B47,Arbeitsgänge!$B$26:$T$79,12))</f>
        <v>21.545365072000006</v>
      </c>
      <c r="K47" s="316">
        <v>0.5</v>
      </c>
      <c r="L47" s="279">
        <f t="shared" si="0"/>
        <v>10.772682536000003</v>
      </c>
      <c r="M47" s="316">
        <v>0.5</v>
      </c>
      <c r="N47" s="656">
        <f t="shared" si="0"/>
        <v>10.772682536000003</v>
      </c>
      <c r="O47" s="316">
        <v>0.5</v>
      </c>
      <c r="P47" s="279">
        <f t="shared" si="0"/>
        <v>10.772682536000003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0.5</v>
      </c>
      <c r="L48" s="279">
        <f t="shared" si="0"/>
        <v>17.202840380999998</v>
      </c>
      <c r="M48" s="316">
        <v>0.5</v>
      </c>
      <c r="N48" s="656">
        <f t="shared" si="0"/>
        <v>17.202840380999998</v>
      </c>
      <c r="O48" s="316">
        <v>0.5</v>
      </c>
      <c r="P48" s="279">
        <f t="shared" si="0"/>
        <v>17.202840380999998</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7</v>
      </c>
      <c r="C50" s="103"/>
      <c r="D50" s="132"/>
      <c r="E50" s="8"/>
      <c r="F50" s="8"/>
      <c r="G50" s="607"/>
      <c r="H50" s="602">
        <f>IF($B50=0,0,VLOOKUP($B50,Arbeitsgänge!$B$26:$T$79,6))</f>
        <v>54</v>
      </c>
      <c r="I50" s="603">
        <f>IF($B50=0,0,VLOOKUP($B50,Arbeitsgänge!$B$26:$T$79,11))</f>
        <v>0.61</v>
      </c>
      <c r="J50" s="401">
        <f>IF($B50=0,0,VLOOKUP($B50,Arbeitsgänge!$B$26:$T$79,12))</f>
        <v>8.8260781587999997</v>
      </c>
      <c r="K50" s="316">
        <v>0.5</v>
      </c>
      <c r="L50" s="279">
        <f t="shared" si="0"/>
        <v>4.4130390793999998</v>
      </c>
      <c r="M50" s="316">
        <v>0.5</v>
      </c>
      <c r="N50" s="656">
        <f t="shared" si="0"/>
        <v>4.4130390793999998</v>
      </c>
      <c r="O50" s="316">
        <v>0.5</v>
      </c>
      <c r="P50" s="279">
        <f t="shared" si="0"/>
        <v>4.4130390793999998</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28</v>
      </c>
      <c r="C52" s="103"/>
      <c r="D52" s="132"/>
      <c r="E52" s="8"/>
      <c r="F52" s="8"/>
      <c r="G52" s="607"/>
      <c r="H52" s="602">
        <f>IF($B52=0,0,VLOOKUP($B52,Arbeitsgänge!$B$26:$T$79,6))</f>
        <v>200</v>
      </c>
      <c r="I52" s="603">
        <f>IF($B52=0,0,VLOOKUP($B52,Arbeitsgänge!$B$26:$T$79,11))</f>
        <v>0.3</v>
      </c>
      <c r="J52" s="401">
        <f>IF($B52=0,0,VLOOKUP($B52,Arbeitsgänge!$B$26:$T$79,12))</f>
        <v>16.220808179999999</v>
      </c>
      <c r="K52" s="316">
        <v>3</v>
      </c>
      <c r="L52" s="279">
        <f t="shared" si="0"/>
        <v>48.662424539999996</v>
      </c>
      <c r="M52" s="316">
        <v>4</v>
      </c>
      <c r="N52" s="656">
        <f t="shared" si="0"/>
        <v>64.883232719999995</v>
      </c>
      <c r="O52" s="316">
        <v>5</v>
      </c>
      <c r="P52" s="279">
        <f t="shared" si="0"/>
        <v>81.104040900000001</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30</v>
      </c>
      <c r="C53" s="103"/>
      <c r="D53" s="132"/>
      <c r="E53" s="8"/>
      <c r="F53" s="8"/>
      <c r="G53" s="607"/>
      <c r="H53" s="602">
        <f>IF($B53=0,0,VLOOKUP($B53,Arbeitsgänge!$B$26:$T$79,6))</f>
        <v>45</v>
      </c>
      <c r="I53" s="603">
        <f>IF($B53=0,0,VLOOKUP($B53,Arbeitsgänge!$B$26:$T$79,11))</f>
        <v>0.35</v>
      </c>
      <c r="J53" s="401">
        <f>IF($B53=0,0,VLOOKUP($B53,Arbeitsgänge!$B$26:$T$79,12))</f>
        <v>6.0893897399999997</v>
      </c>
      <c r="K53" s="316">
        <v>3</v>
      </c>
      <c r="L53" s="279">
        <f t="shared" si="0"/>
        <v>18.268169219999997</v>
      </c>
      <c r="M53" s="316">
        <v>4</v>
      </c>
      <c r="N53" s="656">
        <f t="shared" si="0"/>
        <v>24.357558959999999</v>
      </c>
      <c r="O53" s="316">
        <v>5</v>
      </c>
      <c r="P53" s="279">
        <f t="shared" si="0"/>
        <v>30.4469487</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32</v>
      </c>
      <c r="C54" s="103"/>
      <c r="D54" s="132"/>
      <c r="E54" s="8"/>
      <c r="F54" s="8"/>
      <c r="G54" s="607"/>
      <c r="H54" s="602">
        <f>IF($B54=0,0,VLOOKUP($B54,Arbeitsgänge!$B$26:$T$79,6))</f>
        <v>83</v>
      </c>
      <c r="I54" s="603">
        <f>IF($B54=0,0,VLOOKUP($B54,Arbeitsgänge!$B$26:$T$79,11))</f>
        <v>0.26</v>
      </c>
      <c r="J54" s="401">
        <f>IF($B54=0,0,VLOOKUP($B54,Arbeitsgänge!$B$26:$T$79,12))</f>
        <v>7.3773665359999994</v>
      </c>
      <c r="K54" s="316">
        <v>3</v>
      </c>
      <c r="L54" s="279">
        <f t="shared" si="0"/>
        <v>22.132099607999997</v>
      </c>
      <c r="M54" s="318">
        <v>4</v>
      </c>
      <c r="N54" s="656">
        <f t="shared" si="0"/>
        <v>29.509466143999997</v>
      </c>
      <c r="O54" s="318">
        <v>5</v>
      </c>
      <c r="P54" s="279">
        <f t="shared" si="0"/>
        <v>36.886832679999998</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43</v>
      </c>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4.6399999999999997</v>
      </c>
      <c r="L56" s="283"/>
      <c r="M56" s="662">
        <f>SUMPRODUCT(M45:M55,I45:I55)</f>
        <v>5.55</v>
      </c>
      <c r="N56" s="663"/>
      <c r="O56" s="282">
        <f>SUMPRODUCT(O45:O55,I45:I55)</f>
        <v>6.46</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7.887999999999999</v>
      </c>
      <c r="L57" s="285"/>
      <c r="M57" s="664">
        <f>IF($G$57%*M56&gt;=10,10+M56,M56*(1+$G$57%))</f>
        <v>9.4349999999999987</v>
      </c>
      <c r="N57" s="665"/>
      <c r="O57" s="284">
        <f>IF($G$57%*O56&gt;=10,10+O56,O56*(1+$G$57%))</f>
        <v>10.981999999999999</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174.14634146341461</v>
      </c>
      <c r="M58" s="690"/>
      <c r="N58" s="651">
        <f>SUM(N60:N62)</f>
        <v>232.19512195121953</v>
      </c>
      <c r="O58" s="286"/>
      <c r="P58" s="267">
        <f>SUM(P60:P62)</f>
        <v>290.24390243902434</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816" t="s">
        <v>1092</v>
      </c>
      <c r="E60" s="58"/>
      <c r="F60" s="58"/>
      <c r="G60" s="58"/>
      <c r="H60" s="2036">
        <v>6</v>
      </c>
      <c r="I60" s="2820">
        <f>H60*($H$58+100)/100</f>
        <v>7.14</v>
      </c>
      <c r="J60" s="341"/>
      <c r="K60" s="2818">
        <f>L9/2.7</f>
        <v>24.390243902439025</v>
      </c>
      <c r="L60" s="2039">
        <f>K60*I60</f>
        <v>174.14634146341461</v>
      </c>
      <c r="M60" s="2818">
        <f>N9/2.7</f>
        <v>32.520325203252035</v>
      </c>
      <c r="N60" s="2040">
        <f>M60*I60</f>
        <v>232.19512195121953</v>
      </c>
      <c r="O60" s="2818">
        <f>P9/2.7</f>
        <v>40.650406504065039</v>
      </c>
      <c r="P60" s="2039">
        <f>O60*I60</f>
        <v>290.24390243902434</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2817"/>
      <c r="E61" s="7"/>
      <c r="F61" s="7"/>
      <c r="G61" s="7"/>
      <c r="H61" s="1717"/>
      <c r="I61" s="2821">
        <f>H61*($G61+100)/100</f>
        <v>0</v>
      </c>
      <c r="J61" s="163"/>
      <c r="K61" s="2819"/>
      <c r="L61" s="225">
        <f>K61*I61</f>
        <v>0</v>
      </c>
      <c r="M61" s="2819"/>
      <c r="N61" s="691">
        <f>M61*I61</f>
        <v>0</v>
      </c>
      <c r="O61" s="2819"/>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0.82</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c r="L66" s="290"/>
      <c r="M66" s="2102"/>
      <c r="N66" s="654"/>
      <c r="O66" s="210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250.614</v>
      </c>
      <c r="M67" s="694"/>
      <c r="N67" s="651">
        <f>SUM(N68:N69)</f>
        <v>334.15199999999999</v>
      </c>
      <c r="O67" s="272"/>
      <c r="P67" s="267">
        <f>SUM(P68:P69)</f>
        <v>417.69</v>
      </c>
      <c r="Q67" s="958"/>
    </row>
    <row r="68" spans="1:79" s="50" customFormat="1" ht="14.95" customHeight="1" x14ac:dyDescent="0.2">
      <c r="A68" s="2813"/>
      <c r="B68" s="2814"/>
      <c r="C68" s="103"/>
      <c r="D68" s="2805" t="s">
        <v>1096</v>
      </c>
      <c r="E68" s="2683"/>
      <c r="F68" s="2682"/>
      <c r="G68" s="2684"/>
      <c r="H68" s="2806" t="s">
        <v>1097</v>
      </c>
      <c r="I68" s="2686">
        <f>Preise!M61</f>
        <v>4.641</v>
      </c>
      <c r="J68" s="141"/>
      <c r="K68" s="969"/>
      <c r="L68" s="2253">
        <f>K9*$I$68</f>
        <v>250.614</v>
      </c>
      <c r="M68" s="969"/>
      <c r="N68" s="2254">
        <f>M9*$I$68</f>
        <v>334.15199999999999</v>
      </c>
      <c r="O68" s="969"/>
      <c r="P68" s="2253">
        <f>O9*$I$68</f>
        <v>417.69</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H34" sqref="H34"/>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4">
    <mergeCell ref="B1:F1"/>
    <mergeCell ref="M2:P2"/>
    <mergeCell ref="H3:P3"/>
    <mergeCell ref="I33:J34"/>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307073"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307074"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307075"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307076"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307077"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307078"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307079"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307080"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307081"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307082"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307083"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307084"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307085"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307086"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307087"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307088"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307089"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307090"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307091"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307092"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307093"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307094"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307095"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307096"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307097"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307098"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307099"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307100"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307101"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307102"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307103"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307104"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'LuzHeuTr(a)'!M2</f>
        <v>Luzerne Heu getrocknet</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'LuzHeuTr(a)'!H3</f>
        <v>zweijährige Luzerne, Transport im Lohn, eigene Trocknung Rundballen</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968"/>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966"/>
      <c r="J6" s="2966"/>
      <c r="K6" s="2966"/>
      <c r="L6" s="425" t="s">
        <v>72</v>
      </c>
      <c r="M6" s="258">
        <f>'LuzHeuTr(a)'!K5</f>
        <v>60</v>
      </c>
      <c r="N6" s="1290">
        <f>'LuzHeuTr(a)'!M5</f>
        <v>80</v>
      </c>
      <c r="O6" s="1298">
        <f>'LuzHeuTr(a)'!O5</f>
        <v>100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966"/>
      <c r="J7" s="2966"/>
      <c r="K7" s="2966"/>
      <c r="L7" s="425" t="s">
        <v>72</v>
      </c>
      <c r="M7" s="391">
        <f>'LuzHeuTr(a)'!K9</f>
        <v>54</v>
      </c>
      <c r="N7" s="1291">
        <f>'LuzHeuTr(a)'!M9</f>
        <v>72</v>
      </c>
      <c r="O7" s="1299">
        <f>'LuzHeuTr(a)'!O9</f>
        <v>90</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'LuzHeuTr(a)'!L9</f>
        <v>65.853658536585371</v>
      </c>
      <c r="N8" s="1292">
        <f>'LuzHeuTr(a)'!N9</f>
        <v>87.804878048780495</v>
      </c>
      <c r="O8" s="1201">
        <f>'LuzHeuTr(a)'!P9</f>
        <v>109.75609756097562</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966"/>
      <c r="J9" s="2966"/>
      <c r="K9" s="2966"/>
      <c r="L9" s="425" t="s">
        <v>72</v>
      </c>
      <c r="M9" s="967">
        <f>'LuzHeuTr(a)'!K11</f>
        <v>51.3</v>
      </c>
      <c r="N9" s="1181">
        <f>'LuzHeuTr(a)'!M11</f>
        <v>68.400000000000006</v>
      </c>
      <c r="O9" s="1302">
        <f>'LuzHeuTr(a)'!O11</f>
        <v>85.5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966"/>
      <c r="J10" s="2966"/>
      <c r="K10" s="2966"/>
      <c r="L10" s="425" t="s">
        <v>376</v>
      </c>
      <c r="M10" s="1469">
        <f>'LuzHeuTr(a)'!L11</f>
        <v>59.651162790697676</v>
      </c>
      <c r="N10" s="1200">
        <f>'LuzHeuTr(a)'!N11</f>
        <v>79.534883720930239</v>
      </c>
      <c r="O10" s="1470">
        <f>'LuzHeuTr(a)'!P11</f>
        <v>99.418604651162795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'LuzHeuTr(a)'!L12</f>
        <v>33.139534883720934</v>
      </c>
      <c r="N11" s="1358">
        <f>'LuzHeuTr(a)'!N12</f>
        <v>44.186046511627914</v>
      </c>
      <c r="O11" s="1359">
        <f>'LuzHeuTr(a)'!P12</f>
        <v>55.232558139534888</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'LuzHeuTr(a)'!K15</f>
        <v>2667.6</v>
      </c>
      <c r="N12" s="1293">
        <f>'LuzHeuTr(a)'!M15</f>
        <v>3556.8000000000006</v>
      </c>
      <c r="O12" s="1300">
        <f>'LuzHeuTr(a)'!O15</f>
        <v>4446</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'LuzHeuTr(a)'!K16</f>
        <v>4446</v>
      </c>
      <c r="N13" s="1533">
        <f>'LuzHeuTr(a)'!M16</f>
        <v>5928.0000000000018</v>
      </c>
      <c r="O13" s="1534">
        <f>'LuzHeuTr(a)'!O16</f>
        <v>7410.0000000000009</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967"/>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'LuzHeuTr(a)'!L24</f>
        <v>270</v>
      </c>
      <c r="N15" s="2135">
        <f>'LuzHeuTr(a)'!N24</f>
        <v>270</v>
      </c>
      <c r="O15" s="2138">
        <f>'LuzHeuTr(a)'!P24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'LuzHeuTr(a)'!L18</f>
        <v>230</v>
      </c>
      <c r="N16" s="1291">
        <f>'LuzHeuTr(a)'!N18</f>
        <v>230</v>
      </c>
      <c r="O16" s="2140">
        <f>'LuzHeuTr(a)'!P18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'LuzHeuTr(a)'!L27</f>
        <v>99.509999999999991</v>
      </c>
      <c r="N19" s="1528">
        <f>'LuzHeuTr(a)'!N27</f>
        <v>99.509999999999991</v>
      </c>
      <c r="O19" s="1529">
        <f>'LuzHeuTr(a)'!P27</f>
        <v>99.509999999999991</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'LuzHeuTr(a)'!L31</f>
        <v>275.66940240000002</v>
      </c>
      <c r="N20" s="1186">
        <f>'LuzHeuTr(a)'!N31</f>
        <v>367.55920320000001</v>
      </c>
      <c r="O20" s="1192">
        <f>'LuzHeuTr(a)'!P31</f>
        <v>459.44900400000006</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'LuzHeuTr(a)'!L37</f>
        <v>0</v>
      </c>
      <c r="N21" s="1186">
        <f>'LuzHeuTr(a)'!N37</f>
        <v>0</v>
      </c>
      <c r="O21" s="1192">
        <f>'LuzHeuTr(a)'!P37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'LuzHeuTr(a)'!L65</f>
        <v>0</v>
      </c>
      <c r="N22" s="1186">
        <f>'LuzHeuTr(a)'!N65</f>
        <v>0</v>
      </c>
      <c r="O22" s="1192">
        <f>'LuzHeuTr(a)'!P65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'LuzHeuTr(a)'!L67</f>
        <v>250.614</v>
      </c>
      <c r="N23" s="1186">
        <f>'LuzHeuTr(a)'!N67</f>
        <v>334.15199999999999</v>
      </c>
      <c r="O23" s="1192">
        <f>'LuzHeuTr(a)'!P67</f>
        <v>417.69</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'LuzHeuTr(a)'!L42</f>
        <v>144.90665208440001</v>
      </c>
      <c r="N24" s="1186">
        <f>'LuzHeuTr(a)'!N42</f>
        <v>174.5942165404</v>
      </c>
      <c r="O24" s="1192">
        <f>'LuzHeuTr(a)'!P42</f>
        <v>204.28178099640002</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'LuzHeuTr(a)'!L58</f>
        <v>174.14634146341461</v>
      </c>
      <c r="N25" s="1186">
        <f>'LuzHeuTr(a)'!N58</f>
        <v>232.19512195121953</v>
      </c>
      <c r="O25" s="1192">
        <f>'LuzHeuTr(a)'!P58</f>
        <v>290.24390243902434</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'LuzHeuTr(a)'!L63</f>
        <v>0</v>
      </c>
      <c r="N26" s="1438">
        <f>'LuzHeuTr(a)'!N63</f>
        <v>0</v>
      </c>
      <c r="O26" s="1439">
        <f>'LuzHeuTr(a)'!P63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944.84639594781459</v>
      </c>
      <c r="N27" s="1319">
        <f>SUM(N19:N26)</f>
        <v>1208.0105416916194</v>
      </c>
      <c r="O27" s="1511">
        <f>SUM(O19:O26)</f>
        <v>1471.1746874354246</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-944.84639594781459</v>
      </c>
      <c r="N28" s="1321">
        <f>-N27</f>
        <v>-1208.0105416916194</v>
      </c>
      <c r="O28" s="1321">
        <f>-O27</f>
        <v>-1471.1746874354246</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-0.35419343077965759</v>
      </c>
      <c r="N29" s="1377">
        <f>IF(N$8=0,0,N$28/N$12)</f>
        <v>-0.33963409291824653</v>
      </c>
      <c r="O29" s="1377">
        <f>IF(O$8=0,0,O$28/O$12)</f>
        <v>-0.33089849020140005</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M27*'LuzHeuTr(a)'!$L$70*'LuzHeuTr(a)'!$P$70/12/100</f>
        <v>5.905289974673841</v>
      </c>
      <c r="N31" s="1438">
        <f>N27*'LuzHeuTr(a)'!$L$70*'LuzHeuTr(a)'!$P$70/12/100</f>
        <v>7.5500658855726215</v>
      </c>
      <c r="O31" s="1439">
        <f>O27*'LuzHeuTr(a)'!$L$70*'LuzHeuTr(a)'!$P$70/12/100</f>
        <v>9.1948417964714046</v>
      </c>
      <c r="P31" s="163"/>
      <c r="T31" s="7" t="s">
        <v>581</v>
      </c>
      <c r="U31" s="2121"/>
      <c r="V31" s="2121"/>
      <c r="W31" s="2121"/>
      <c r="X31" s="2121"/>
      <c r="Y31" s="2121"/>
      <c r="Z31" s="2116">
        <f>'LuzHeuTr(a)'!Q18+'LuzHeuTr(a)'!Q24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-450.75168592248843</v>
      </c>
      <c r="N32" s="1313">
        <f>N28+N30-N31</f>
        <v>-715.56060757719206</v>
      </c>
      <c r="O32" s="1320">
        <f>O28+O30-O31</f>
        <v>-980.36952923189608</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-0.16897274176131671</v>
      </c>
      <c r="N33" s="1180">
        <f>IF(N12=0,0,N32/N12)</f>
        <v>-0.20118100752845028</v>
      </c>
      <c r="O33" s="1503">
        <f>IF(O12=0,0,O32/O12)</f>
        <v>-0.22050596698873057</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-0.10138364505679003</v>
      </c>
      <c r="N34" s="1194">
        <f>IF(N13=0,0,N32/N13)</f>
        <v>-0.12070860451707015</v>
      </c>
      <c r="O34" s="1508">
        <f>IF(O13=0,0,O32/O13)</f>
        <v>-0.13230358019323832</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'LuzHeuTr(a)'!K57</f>
        <v>7.887999999999999</v>
      </c>
      <c r="N36" s="1771">
        <f>'LuzHeuTr(a)'!M57</f>
        <v>9.4349999999999987</v>
      </c>
      <c r="O36" s="1773">
        <f>'LuzHeuTr(a)'!O57</f>
        <v>10.981999999999999</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1218</v>
      </c>
      <c r="F37" s="2790"/>
      <c r="G37" s="1530"/>
      <c r="H37" s="1530"/>
      <c r="I37" s="1539">
        <f>IF(M37=0,0,'Lager-Fläche'!$L$33)</f>
        <v>7.2976749999999999</v>
      </c>
      <c r="J37" s="218" t="s">
        <v>32</v>
      </c>
      <c r="K37" s="218"/>
      <c r="L37" s="1531" t="s">
        <v>378</v>
      </c>
      <c r="M37" s="1802">
        <f>'LuzHeuTr(a)'!L10</f>
        <v>36.585365853658544</v>
      </c>
      <c r="N37" s="1803">
        <f>'LuzHeuTr(a)'!N10</f>
        <v>48.780487804878057</v>
      </c>
      <c r="O37" s="1804">
        <f>'LuzHeuTr(a)'!P10</f>
        <v>60.975609756097569</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130.15199999999999</v>
      </c>
      <c r="N38" s="1186">
        <f>$J$38*N36</f>
        <v>155.67749999999998</v>
      </c>
      <c r="O38" s="1192">
        <f>$J$38*O36</f>
        <v>181.20299999999997</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1146</v>
      </c>
      <c r="F39" s="2785"/>
      <c r="G39" s="2785"/>
      <c r="K39" s="7"/>
      <c r="L39" s="425" t="s">
        <v>154</v>
      </c>
      <c r="M39" s="235">
        <f>M37*$I$37</f>
        <v>266.98810975609763</v>
      </c>
      <c r="N39" s="1805">
        <f>N37*$I$37</f>
        <v>355.98414634146349</v>
      </c>
      <c r="O39" s="1801">
        <f>O37*$I$37</f>
        <v>444.98018292682934</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Maschinen!$X$43</f>
        <v>409.45977905303033</v>
      </c>
      <c r="N40" s="1186">
        <f>Maschinen!$X$43</f>
        <v>409.45977905303033</v>
      </c>
      <c r="O40" s="1192">
        <f>Maschinen!$X$43</f>
        <v>409.45977905303033</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1190.3736388091281</v>
      </c>
      <c r="N44" s="1449">
        <f>SUM(N38:N43)</f>
        <v>1354.8951753944939</v>
      </c>
      <c r="O44" s="1452">
        <f>SUM(O38:O43)</f>
        <v>1519.4167119798597</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2141.1253247316163</v>
      </c>
      <c r="N47" s="1497">
        <f>N27+N31+N44</f>
        <v>2570.4557829716859</v>
      </c>
      <c r="O47" s="1536">
        <f>O27+O31+O44</f>
        <v>2999.7862412117556</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-2141.1253247316163</v>
      </c>
      <c r="N48" s="1667">
        <f>N46-N47</f>
        <v>-2570.4557829716859</v>
      </c>
      <c r="O48" s="1668">
        <f>O46-O47</f>
        <v>-2999.7862412117556</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-1641.1253247316163</v>
      </c>
      <c r="N50" s="1449">
        <f>N48+N49</f>
        <v>-2070.4557829716859</v>
      </c>
      <c r="O50" s="1452">
        <f>O48+O49</f>
        <v>-2499.7862412117556</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1641.1253247316163</v>
      </c>
      <c r="N52" s="1315">
        <f>N47-N49</f>
        <v>2070.4557829716859</v>
      </c>
      <c r="O52" s="2149">
        <f>O47-O49</f>
        <v>2499.7862412117556</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27.512042480880897</v>
      </c>
      <c r="N53" s="1740">
        <f>IF(N10=0,0,N$52/N10)</f>
        <v>26.032046394088447</v>
      </c>
      <c r="O53" s="1741">
        <f>IF(O10=0,0,O$52/O10)</f>
        <v>25.144048742012981</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31.990747070791741</v>
      </c>
      <c r="N54" s="1740">
        <f>IF(N9=0,0,N$52/N9)</f>
        <v>30.269821388474938</v>
      </c>
      <c r="O54" s="1741">
        <f>IF(O9=0,0,O$52/O9)</f>
        <v>29.23726597908486</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49.521676465585607</v>
      </c>
      <c r="N55" s="1740">
        <f t="shared" si="3"/>
        <v>46.857683509359198</v>
      </c>
      <c r="O55" s="1741">
        <f t="shared" si="3"/>
        <v>45.25928773562336</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IF(M12=0,0,M$52/M12)</f>
        <v>0.61520667443830268</v>
      </c>
      <c r="N56" s="1659">
        <f t="shared" si="3"/>
        <v>0.58211194977836411</v>
      </c>
      <c r="O56" s="1660">
        <f t="shared" si="3"/>
        <v>0.56225511498240122</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0.36912400466298162</v>
      </c>
      <c r="N57" s="1659">
        <f t="shared" si="3"/>
        <v>0.34926716986701845</v>
      </c>
      <c r="O57" s="1660">
        <f t="shared" si="3"/>
        <v>0.33735306898944067</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0.17089074289952852</v>
      </c>
      <c r="N58" s="1662">
        <f>N52/$N$12*10/$F$58</f>
        <v>0.16169776382732337</v>
      </c>
      <c r="O58" s="1663">
        <f>O52/$O$12*10/$F$58</f>
        <v>0.15618197638400033</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1374.1372149755186</v>
      </c>
      <c r="N59" s="1313">
        <f>N52-N39</f>
        <v>1714.4716366302225</v>
      </c>
      <c r="O59" s="1320">
        <f>O52-O39</f>
        <v>2054.8060582849262</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25.446985462509605</v>
      </c>
      <c r="N60" s="2166">
        <f>N59/N7</f>
        <v>23.812106064308647</v>
      </c>
      <c r="O60" s="2167">
        <f>O59/O7</f>
        <v>22.831178425388067</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0.5151211632086965</v>
      </c>
      <c r="N61" s="1580">
        <f>IF(N12=0,0,N$59/N12)</f>
        <v>0.48202643854875793</v>
      </c>
      <c r="O61" s="1657">
        <f>IF(O12=0,0,O$59/O12)</f>
        <v>0.46216960375279492</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0.1430892120024157</v>
      </c>
      <c r="N62" s="1580">
        <f>N59/$N$12*10/$F$58</f>
        <v>0.13389623293021055</v>
      </c>
      <c r="O62" s="2171">
        <f>O59/$O$12*10/$F$58</f>
        <v>0.12838044548688746</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0.30907269792521785</v>
      </c>
      <c r="N63" s="1377">
        <f>IF(N13=0,0,N$59/N13)</f>
        <v>0.28921586312925474</v>
      </c>
      <c r="O63" s="1488">
        <f>IF(O13=0,0,O$59/O13)</f>
        <v>0.27730176225167691</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631.69869237467378</v>
      </c>
      <c r="N65" s="1316">
        <f>SUM(N19:N23)+N31</f>
        <v>808.77126908557261</v>
      </c>
      <c r="O65" s="1317">
        <f>SUM(O19:O23)+O31</f>
        <v>985.84384579647156</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0.23680412819563421</v>
      </c>
      <c r="N66" s="1377">
        <f>N65/N12</f>
        <v>0.22738733386346505</v>
      </c>
      <c r="O66" s="1488">
        <f>O65/O12</f>
        <v>0.22173725726416366</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888.35233705684504</v>
      </c>
      <c r="N67" s="1494">
        <f>N24+N25+N26+N40+N38</f>
        <v>971.92661754464984</v>
      </c>
      <c r="O67" s="1495">
        <f>O24+O25+O26+O40+O38</f>
        <v>1085.1884624884547</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0.33301557094648565</v>
      </c>
      <c r="N68" s="1612">
        <f>N67/N12</f>
        <v>0.27325872063221146</v>
      </c>
      <c r="O68" s="1631">
        <f>O67/O12</f>
        <v>0.2440819753685233</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E1" sqref="E1:I1"/>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rgb="FFFFC000"/>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375" style="291" customWidth="1"/>
    <col min="12" max="12" width="9.625" style="291" customWidth="1"/>
    <col min="13" max="13" width="9.875" style="7" customWidth="1"/>
    <col min="14" max="14" width="9.625" style="7" customWidth="1"/>
    <col min="15" max="15" width="8" style="291" customWidth="1"/>
    <col min="16" max="16" width="10.87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236</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705</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c r="R4"/>
      <c r="S4"/>
      <c r="T4"/>
      <c r="U4"/>
      <c r="V4"/>
      <c r="W4"/>
      <c r="X4"/>
      <c r="Y4"/>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100</v>
      </c>
      <c r="L5" s="359"/>
      <c r="M5" s="2935">
        <v>120</v>
      </c>
      <c r="N5" s="1687"/>
      <c r="O5" s="2935">
        <v>160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c r="L6" s="581">
        <v>5</v>
      </c>
      <c r="M6" s="577"/>
      <c r="N6" s="581">
        <v>5</v>
      </c>
      <c r="O6" s="577"/>
      <c r="P6" s="581">
        <v>5</v>
      </c>
      <c r="Q6" s="433"/>
      <c r="R6" s="433" t="s">
        <v>1273</v>
      </c>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33</v>
      </c>
      <c r="L7" s="581">
        <v>35</v>
      </c>
      <c r="M7" s="577">
        <v>33</v>
      </c>
      <c r="N7" s="581">
        <v>35</v>
      </c>
      <c r="O7" s="577">
        <v>33</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7</v>
      </c>
      <c r="L8" s="582">
        <v>7</v>
      </c>
      <c r="M8" s="578">
        <v>7</v>
      </c>
      <c r="N8" s="582">
        <v>7</v>
      </c>
      <c r="O8" s="578">
        <v>7</v>
      </c>
      <c r="P8" s="582">
        <v>7</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415</v>
      </c>
      <c r="E9" s="293"/>
      <c r="F9" s="421"/>
      <c r="G9" s="293"/>
      <c r="H9" s="593" t="s">
        <v>416</v>
      </c>
      <c r="I9" s="594" t="s">
        <v>417</v>
      </c>
      <c r="J9" s="83" t="s">
        <v>418</v>
      </c>
      <c r="K9" s="595">
        <f>K5*(100-K6)/100</f>
        <v>100</v>
      </c>
      <c r="L9" s="596">
        <f>IF(K7=0,0,K9/K7*100)</f>
        <v>303.030303030303</v>
      </c>
      <c r="M9" s="673">
        <f>M5*(100-M6)/100</f>
        <v>120</v>
      </c>
      <c r="N9" s="674">
        <f>IF(M7=0,0,M9/M7*100)</f>
        <v>363.63636363636363</v>
      </c>
      <c r="O9" s="595">
        <f>O5*(100-O6)/100</f>
        <v>160</v>
      </c>
      <c r="P9" s="596">
        <f>IF(O7=0,0,O9/O7*100)</f>
        <v>484.84848484848487</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43.290043290043286</v>
      </c>
      <c r="M10" s="236"/>
      <c r="N10" s="675">
        <f>IF(M8=0,0,1/M8*N9)</f>
        <v>51.94805194805194</v>
      </c>
      <c r="O10" s="164"/>
      <c r="P10" s="597">
        <f>IF(O8=0,0,1/O8*P9)</f>
        <v>69.264069264069263</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95</v>
      </c>
      <c r="L11" s="584">
        <f>IF(L7=0,0,K11/L7*100)</f>
        <v>271.42857142857144</v>
      </c>
      <c r="M11" s="676">
        <f>M9*(100-N6)/100</f>
        <v>114</v>
      </c>
      <c r="N11" s="677">
        <f>IF(N7=0,0,M11/N7*100)</f>
        <v>325.71428571428572</v>
      </c>
      <c r="O11" s="583">
        <f>O9*(100-P6)/100</f>
        <v>152</v>
      </c>
      <c r="P11" s="584">
        <f>IF(P7=0,0,O11/P7*100)</f>
        <v>434.28571428571428</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38.775510204081634</v>
      </c>
      <c r="M12" s="666"/>
      <c r="N12" s="678">
        <f>IF(N8=0,0,1/N8*N11)</f>
        <v>46.530612244897959</v>
      </c>
      <c r="O12" s="414"/>
      <c r="P12" s="422">
        <f>IF(P8=0,0,1/P8*P11)</f>
        <v>62.04081632653061</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6.4</v>
      </c>
      <c r="L13" s="360"/>
      <c r="M13" s="419">
        <v>6.5</v>
      </c>
      <c r="N13" s="649"/>
      <c r="O13" s="419">
        <v>6.6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10.666666666666668</v>
      </c>
      <c r="L14" s="360"/>
      <c r="M14" s="679">
        <f>M13/$G14</f>
        <v>10.833333333333334</v>
      </c>
      <c r="N14" s="649"/>
      <c r="O14" s="426">
        <f>O13/$G14</f>
        <v>11</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6080</v>
      </c>
      <c r="L15" s="3399"/>
      <c r="M15" s="680">
        <f>M$11*M13*10</f>
        <v>7410</v>
      </c>
      <c r="N15" s="649"/>
      <c r="O15" s="3398">
        <f>O$11*O13*10</f>
        <v>10032</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10133.333333333336</v>
      </c>
      <c r="L16" s="3401"/>
      <c r="M16" s="3402">
        <f>M$11*M14*10</f>
        <v>12350</v>
      </c>
      <c r="N16" s="3403"/>
      <c r="O16" s="3400">
        <f>O$11*O14*10</f>
        <v>16720</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282.48</v>
      </c>
      <c r="M27" s="669"/>
      <c r="N27" s="651">
        <f>SUM(N29:N30)</f>
        <v>282.48</v>
      </c>
      <c r="O27" s="272"/>
      <c r="P27" s="267">
        <f>SUM(P29:P30)</f>
        <v>282.48</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120</v>
      </c>
      <c r="I29" s="586">
        <f>H29*($H$27+100)/100</f>
        <v>128.4</v>
      </c>
      <c r="J29" s="90"/>
      <c r="K29" s="382">
        <v>2.2000000000000002</v>
      </c>
      <c r="L29" s="279">
        <f>$I29*K29</f>
        <v>282.48</v>
      </c>
      <c r="M29" s="382">
        <v>2.2000000000000002</v>
      </c>
      <c r="N29" s="656">
        <f>$I29*M29</f>
        <v>282.48</v>
      </c>
      <c r="O29" s="382">
        <v>2.2000000000000002</v>
      </c>
      <c r="P29" s="279">
        <f>$I29*O29</f>
        <v>282.48</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791.35</v>
      </c>
      <c r="M31" s="683"/>
      <c r="N31" s="651">
        <f>SUM(N33:N36)-N17</f>
        <v>949.62000000000012</v>
      </c>
      <c r="O31" s="276"/>
      <c r="P31" s="267">
        <f>SUM(P33:P36)-P17</f>
        <v>1266.1600000000001</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1.36</v>
      </c>
      <c r="H33" s="327"/>
      <c r="I33"/>
      <c r="J33" s="163"/>
      <c r="K33" s="278">
        <f>G33*$K$9+H33</f>
        <v>136</v>
      </c>
      <c r="L33" s="279">
        <f>K33*$E33</f>
        <v>485.52</v>
      </c>
      <c r="M33" s="684">
        <f>G33*$M$9+H33</f>
        <v>163.20000000000002</v>
      </c>
      <c r="N33" s="656">
        <f>M33*$E33</f>
        <v>582.62400000000002</v>
      </c>
      <c r="O33" s="278">
        <f>G33*$O$9+H33</f>
        <v>217.60000000000002</v>
      </c>
      <c r="P33" s="279">
        <f>O33*$E33</f>
        <v>776.83199999999999</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0.57999999999999996</v>
      </c>
      <c r="H34" s="327"/>
      <c r="I34"/>
      <c r="J34" s="163"/>
      <c r="K34" s="278">
        <f>G34*$K$9+H34</f>
        <v>57.999999999999993</v>
      </c>
      <c r="L34" s="279">
        <f>K34*$E34</f>
        <v>150.46359999999999</v>
      </c>
      <c r="M34" s="684">
        <f>G34*$M$9+H34</f>
        <v>69.599999999999994</v>
      </c>
      <c r="N34" s="656">
        <f>M34*$E34</f>
        <v>180.55632</v>
      </c>
      <c r="O34" s="278">
        <f>G34*$O$9+H34</f>
        <v>92.8</v>
      </c>
      <c r="P34" s="279">
        <f>O34*$E34</f>
        <v>240.74176000000003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1.61</v>
      </c>
      <c r="H35" s="327"/>
      <c r="I35"/>
      <c r="J35" s="163"/>
      <c r="K35" s="278">
        <f>G35*$K$9+H35</f>
        <v>161</v>
      </c>
      <c r="L35" s="279">
        <f>K35*$E35</f>
        <v>149.4402</v>
      </c>
      <c r="M35" s="684">
        <f>G35*$M$9+H35</f>
        <v>193.20000000000002</v>
      </c>
      <c r="N35" s="656">
        <f>M35*$E35</f>
        <v>179.32824000000002</v>
      </c>
      <c r="O35" s="278">
        <f>G35*$O$9+H35</f>
        <v>257.60000000000002</v>
      </c>
      <c r="P35" s="279">
        <f>O35*$E35</f>
        <v>239.10432000000003</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0.03</v>
      </c>
      <c r="H36" s="328"/>
      <c r="I36" s="36"/>
      <c r="J36" s="36"/>
      <c r="K36" s="280">
        <f>G36*$K$9+H36</f>
        <v>3</v>
      </c>
      <c r="L36" s="275">
        <f>K36*$E36</f>
        <v>5.9261999999999997</v>
      </c>
      <c r="M36" s="685">
        <f>G36*$M$9+H36</f>
        <v>3.5999999999999996</v>
      </c>
      <c r="N36" s="657">
        <f>M36*$E36</f>
        <v>7.1114399999999991</v>
      </c>
      <c r="O36" s="280">
        <f>G36*$O$9+H36</f>
        <v>4.8</v>
      </c>
      <c r="P36" s="275">
        <f>O36*$E36</f>
        <v>9.4819199999999988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206.73416028075147</v>
      </c>
      <c r="M42" s="687"/>
      <c r="N42" s="651">
        <f>SUM(N45:N55)</f>
        <v>217.1983385757818</v>
      </c>
      <c r="O42" s="367"/>
      <c r="P42" s="267">
        <f>SUM(P45:P55)</f>
        <v>238.12669516584239</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3</v>
      </c>
      <c r="C47" s="103"/>
      <c r="D47" s="132"/>
      <c r="E47" s="8"/>
      <c r="F47" s="8"/>
      <c r="G47" s="607"/>
      <c r="H47" s="602">
        <f>IF($B47=0,0,VLOOKUP($B47,Arbeitsgänge!$B$26:$T$79,6))</f>
        <v>102</v>
      </c>
      <c r="I47" s="603">
        <f>IF($B47=0,0,VLOOKUP($B47,Arbeitsgänge!$B$26:$T$79,11))</f>
        <v>1.01</v>
      </c>
      <c r="J47" s="401">
        <f>IF($B47=0,0,VLOOKUP($B47,Arbeitsgänge!$B$26:$T$79,12))</f>
        <v>29.055419372000003</v>
      </c>
      <c r="K47" s="316">
        <v>1</v>
      </c>
      <c r="L47" s="279">
        <f t="shared" si="0"/>
        <v>29.055419372000003</v>
      </c>
      <c r="M47" s="316">
        <v>1</v>
      </c>
      <c r="N47" s="656">
        <f t="shared" si="0"/>
        <v>29.055419372000003</v>
      </c>
      <c r="O47" s="316">
        <v>1</v>
      </c>
      <c r="P47" s="279">
        <f t="shared" si="0"/>
        <v>29.055419372000003</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4</v>
      </c>
      <c r="C48" s="103"/>
      <c r="D48" s="132"/>
      <c r="E48" s="8"/>
      <c r="F48" s="8"/>
      <c r="G48" s="607"/>
      <c r="H48" s="602">
        <f>IF($B48=0,0,VLOOKUP($B48,Arbeitsgänge!$B$26:$T$79,6))</f>
        <v>83</v>
      </c>
      <c r="I48" s="603">
        <f>IF($B48=0,0,VLOOKUP($B48,Arbeitsgänge!$B$26:$T$79,11))</f>
        <v>0.56999999999999995</v>
      </c>
      <c r="J48" s="401">
        <f>IF($B48=0,0,VLOOKUP($B48,Arbeitsgänge!$B$26:$T$79,12))</f>
        <v>14.933111252</v>
      </c>
      <c r="K48" s="316">
        <v>1</v>
      </c>
      <c r="L48" s="279">
        <f t="shared" si="0"/>
        <v>14.933111252</v>
      </c>
      <c r="M48" s="316">
        <v>1</v>
      </c>
      <c r="N48" s="656">
        <f t="shared" si="0"/>
        <v>14.933111252</v>
      </c>
      <c r="O48" s="316">
        <v>1</v>
      </c>
      <c r="P48" s="279">
        <f t="shared" si="0"/>
        <v>14.933111252</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14</v>
      </c>
      <c r="C50" s="103"/>
      <c r="D50" s="132"/>
      <c r="E50" s="8"/>
      <c r="F50" s="8"/>
      <c r="G50" s="607"/>
      <c r="H50" s="602">
        <f>IF($B50=0,0,VLOOKUP($B50,Arbeitsgänge!$B$26:$T$79,6))</f>
        <v>83</v>
      </c>
      <c r="I50" s="603">
        <f>IF($B50=0,0,VLOOKUP($B50,Arbeitsgänge!$B$26:$T$79,11))</f>
        <v>0.27</v>
      </c>
      <c r="J50" s="401">
        <f>IF($B50=0,0,VLOOKUP($B50,Arbeitsgänge!$B$26:$T$79,12))</f>
        <v>7.198842172</v>
      </c>
      <c r="K50" s="316">
        <v>1</v>
      </c>
      <c r="L50" s="279">
        <f t="shared" si="0"/>
        <v>7.198842172</v>
      </c>
      <c r="M50" s="316">
        <v>1</v>
      </c>
      <c r="N50" s="656">
        <f t="shared" si="0"/>
        <v>7.198842172</v>
      </c>
      <c r="O50" s="316">
        <v>1</v>
      </c>
      <c r="P50" s="279">
        <f t="shared" si="0"/>
        <v>7.198842172</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15</v>
      </c>
      <c r="C51" s="103"/>
      <c r="D51" s="132"/>
      <c r="E51" s="8"/>
      <c r="F51" s="8"/>
      <c r="G51" s="607"/>
      <c r="H51" s="602">
        <f>IF($B51=0,0,VLOOKUP($B51,Arbeitsgänge!$B$26:$T$79,6))</f>
        <v>45</v>
      </c>
      <c r="I51" s="603">
        <f>IF($B51=0,0,VLOOKUP($B51,Arbeitsgänge!$B$26:$T$79,11))</f>
        <v>1.1100000000000001</v>
      </c>
      <c r="J51" s="401">
        <f>IF($B51=0,0,VLOOKUP($B51,Arbeitsgänge!$B$26:$T$79,12))</f>
        <v>14.9882142228</v>
      </c>
      <c r="K51" s="316">
        <v>2</v>
      </c>
      <c r="L51" s="279">
        <f t="shared" si="0"/>
        <v>29.9764284456</v>
      </c>
      <c r="M51" s="316">
        <v>2</v>
      </c>
      <c r="N51" s="656">
        <f t="shared" si="0"/>
        <v>29.9764284456</v>
      </c>
      <c r="O51" s="316">
        <v>2</v>
      </c>
      <c r="P51" s="279">
        <f t="shared" si="0"/>
        <v>29.9764284456</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16</v>
      </c>
      <c r="C52" s="103"/>
      <c r="D52" s="132"/>
      <c r="E52" s="8"/>
      <c r="F52" s="8"/>
      <c r="G52" s="607"/>
      <c r="H52" s="602">
        <f>IF($B52=0,0,VLOOKUP($B52,Arbeitsgänge!$B$26:$T$79,6))</f>
        <v>45</v>
      </c>
      <c r="I52" s="603">
        <f>IF($B52=0,0,VLOOKUP($B52,Arbeitsgänge!$B$26:$T$79,11))</f>
        <v>0.15</v>
      </c>
      <c r="J52" s="401">
        <f>IF($B52=0,0,VLOOKUP($B52,Arbeitsgänge!$B$26:$T$79,12))</f>
        <v>1.7215019219999996</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44</v>
      </c>
      <c r="C53" s="103"/>
      <c r="D53" s="132"/>
      <c r="E53" s="8"/>
      <c r="F53" s="8"/>
      <c r="G53" s="607"/>
      <c r="H53" s="602">
        <f>IF($B53=0,0,VLOOKUP($B53,Arbeitsgänge!$B$26:$T$79,6))</f>
        <v>83</v>
      </c>
      <c r="I53" s="603">
        <f>IF($B53=0,0,VLOOKUP($B53,Arbeitsgänge!$B$26:$T$79,11))</f>
        <v>1.89</v>
      </c>
      <c r="J53" s="401">
        <f>IF($B53=0,0,VLOOKUP($B53,Arbeitsgänge!$B$26:$T$79,12))</f>
        <v>35.677855642799997</v>
      </c>
      <c r="K53" s="316">
        <f>L9/300</f>
        <v>1.0101010101010099</v>
      </c>
      <c r="L53" s="279">
        <f t="shared" si="0"/>
        <v>36.038238023030296</v>
      </c>
      <c r="M53" s="316">
        <f>N9/300</f>
        <v>1.2121212121212122</v>
      </c>
      <c r="N53" s="656">
        <f t="shared" si="0"/>
        <v>43.245885627636362</v>
      </c>
      <c r="O53" s="316">
        <f>P9/300</f>
        <v>1.6161616161616161</v>
      </c>
      <c r="P53" s="279">
        <f t="shared" si="0"/>
        <v>57.66118083684848</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1.0101010101010099</v>
      </c>
      <c r="L54" s="279">
        <f t="shared" si="0"/>
        <v>16.282653452121206</v>
      </c>
      <c r="M54" s="318">
        <f>N9/300</f>
        <v>1.2121212121212122</v>
      </c>
      <c r="N54" s="656">
        <f t="shared" si="0"/>
        <v>19.539184142545452</v>
      </c>
      <c r="O54" s="318">
        <f>P9/300</f>
        <v>1.6161616161616161</v>
      </c>
      <c r="P54" s="279">
        <f t="shared" si="0"/>
        <v>26.052245523393935</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2</v>
      </c>
      <c r="C55" s="103"/>
      <c r="D55" s="133"/>
      <c r="E55" s="84"/>
      <c r="F55" s="84"/>
      <c r="G55" s="608"/>
      <c r="H55" s="604">
        <f>IF($B55=0,0,VLOOKUP($B55,Arbeitsgänge!$B$26:$T$79,6))</f>
        <v>102</v>
      </c>
      <c r="I55" s="604">
        <f>IF($B55=0,0,VLOOKUP($B55,Arbeitsgänge!$B$26:$T$79,11))</f>
        <v>0.78</v>
      </c>
      <c r="J55" s="1430">
        <f>IF($B55=0,0,VLOOKUP($B55,Arbeitsgänge!$B$26:$T$79,12))</f>
        <v>26.338674124000004</v>
      </c>
      <c r="K55" s="317">
        <v>1</v>
      </c>
      <c r="L55" s="313">
        <f t="shared" si="0"/>
        <v>26.338674124000004</v>
      </c>
      <c r="M55" s="319">
        <v>1</v>
      </c>
      <c r="N55" s="661">
        <f t="shared" si="0"/>
        <v>26.338674124000004</v>
      </c>
      <c r="O55" s="319">
        <v>1</v>
      </c>
      <c r="P55" s="313">
        <f t="shared" si="0"/>
        <v>26.338674124000004</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9.1285858585858577</v>
      </c>
      <c r="L56" s="283"/>
      <c r="M56" s="662">
        <f>SUMPRODUCT(M45:M55,I45:I55)</f>
        <v>9.7003030303030293</v>
      </c>
      <c r="N56" s="663"/>
      <c r="O56" s="282">
        <f>SUMPRODUCT(O45:O55,I45:I55)</f>
        <v>10.843737373737373</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15.518595959595958</v>
      </c>
      <c r="L57" s="285"/>
      <c r="M57" s="664">
        <f>IF($G$57%*M56&gt;=10,10+M56,M56*(1+$G$57%))</f>
        <v>16.490515151515151</v>
      </c>
      <c r="N57" s="665"/>
      <c r="O57" s="284">
        <f>IF($G$57%*O56&gt;=10,10+O56,O56*(1+$G$57%))</f>
        <v>18.434353535353534</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258.82500000000005</v>
      </c>
      <c r="M58" s="690"/>
      <c r="N58" s="651">
        <f>SUM(N60:N62)</f>
        <v>279.64999999999998</v>
      </c>
      <c r="O58" s="286"/>
      <c r="P58" s="267">
        <f>SUM(P60:P62)</f>
        <v>300.47500000000002</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t="s">
        <v>456</v>
      </c>
      <c r="E60" s="58"/>
      <c r="F60" s="58"/>
      <c r="G60" s="58"/>
      <c r="H60" s="2036">
        <v>175</v>
      </c>
      <c r="I60" s="2037">
        <f>H60*($H$58+100)/100</f>
        <v>208.25</v>
      </c>
      <c r="J60" s="341"/>
      <c r="K60" s="2038">
        <v>0.9</v>
      </c>
      <c r="L60" s="2039">
        <f>K60*I60</f>
        <v>187.42500000000001</v>
      </c>
      <c r="M60" s="2038">
        <v>1</v>
      </c>
      <c r="N60" s="2040">
        <f>M60*I60</f>
        <v>208.25</v>
      </c>
      <c r="O60" s="2038">
        <v>1.1000000000000001</v>
      </c>
      <c r="P60" s="2039">
        <f>O60*I60</f>
        <v>229.07500000000002</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t="s">
        <v>457</v>
      </c>
      <c r="E61" s="7"/>
      <c r="F61" s="7"/>
      <c r="G61" s="7"/>
      <c r="H61" s="1717">
        <v>60</v>
      </c>
      <c r="I61" s="2031">
        <f>H61*($H$58+100)/100</f>
        <v>71.400000000000006</v>
      </c>
      <c r="J61" s="163"/>
      <c r="K61" s="315">
        <v>1</v>
      </c>
      <c r="L61" s="225">
        <f>K61*I61</f>
        <v>71.400000000000006</v>
      </c>
      <c r="M61" s="315">
        <v>1</v>
      </c>
      <c r="N61" s="691">
        <f>M61*I61</f>
        <v>71.400000000000006</v>
      </c>
      <c r="O61" s="315">
        <v>1</v>
      </c>
      <c r="P61" s="225">
        <f>O61*I61</f>
        <v>71.400000000000006</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0.33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20.793600000000001</v>
      </c>
      <c r="M65" s="1073"/>
      <c r="N65" s="651">
        <f>M66*$H66/100</f>
        <v>25.342199999999998</v>
      </c>
      <c r="O65" s="289"/>
      <c r="P65" s="267">
        <f>O66*$H66/100</f>
        <v>34.309440000000002</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v>1.71</v>
      </c>
      <c r="I66" s="74"/>
      <c r="J66" s="303" t="s">
        <v>154</v>
      </c>
      <c r="K66" s="144">
        <f>K15*0.2</f>
        <v>1216</v>
      </c>
      <c r="L66" s="290"/>
      <c r="M66" s="144">
        <f>M15*0.2</f>
        <v>1482</v>
      </c>
      <c r="N66" s="654"/>
      <c r="O66" s="144">
        <f>O15*0.2</f>
        <v>2006.4</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51.17</v>
      </c>
      <c r="M67" s="694"/>
      <c r="N67" s="651">
        <f>SUM(N68:N69)</f>
        <v>51.17</v>
      </c>
      <c r="O67" s="272"/>
      <c r="P67" s="267">
        <f>SUM(P68:P69)</f>
        <v>51.17</v>
      </c>
      <c r="Q67" s="958"/>
    </row>
    <row r="68" spans="1:79" s="50" customFormat="1" ht="14.95" customHeight="1" x14ac:dyDescent="0.2">
      <c r="A68" s="2813"/>
      <c r="B68" s="2814"/>
      <c r="C68" s="103"/>
      <c r="D68" s="2815" t="s">
        <v>1107</v>
      </c>
      <c r="E68" s="2809"/>
      <c r="F68" s="2809"/>
      <c r="G68" s="2809"/>
      <c r="H68" s="1102"/>
      <c r="I68" s="2036">
        <v>51.17</v>
      </c>
      <c r="J68" s="141"/>
      <c r="K68" s="969"/>
      <c r="L68" s="2253">
        <f>$I$68</f>
        <v>51.17</v>
      </c>
      <c r="M68" s="969"/>
      <c r="N68" s="2254">
        <f>$I$68</f>
        <v>51.17</v>
      </c>
      <c r="O68" s="969"/>
      <c r="P68" s="2253">
        <f>$I$68</f>
        <v>51.17</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O54" sqref="O54"/>
      <pageMargins left="0.51181102362204722" right="0.47244094488188981" top="0.55118110236220474" bottom="0.9055118110236221" header="0.51181102362204722" footer="0.31496062992125984"/>
      <printOptions horizontalCentered="1" verticalCentered="1"/>
      <pageSetup paperSize="9" scale="69"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8">
    <mergeCell ref="M2:P2"/>
    <mergeCell ref="H3:P3"/>
    <mergeCell ref="B1:F1"/>
    <mergeCell ref="K15:L15"/>
    <mergeCell ref="K16:L16"/>
    <mergeCell ref="M16:N16"/>
    <mergeCell ref="O15:P15"/>
    <mergeCell ref="O16:P16"/>
  </mergeCells>
  <phoneticPr fontId="0" type="noConversion"/>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7" r:id="rId5" name="Check Box 5">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18457" r:id="rId6" name="Check Box 25">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18458" r:id="rId7" name="Check Box 26">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18459" r:id="rId8" name="Check Box 27">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18460" r:id="rId9" name="Check Box 28">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18461" r:id="rId10" name="Check Box 29">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18462" r:id="rId11" name="Check Box 30">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18463" r:id="rId12" name="Check Box 31">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18464" r:id="rId13" name="Check Box 32">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18465" r:id="rId14" name="Check Box 33">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18466" r:id="rId15" name="Check Box 34">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18467" r:id="rId16" name="Check Box 35">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18468" r:id="rId17" name="Check Box 36">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18469" r:id="rId18" name="Check Box 37">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18470" r:id="rId19" name="Check Box 38">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18471" r:id="rId20" name="Drop Down 39">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18472" r:id="rId21" name="Drop Down 40">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18473" r:id="rId22" name="Drop Down 41">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18474" r:id="rId23" name="Drop Down 42">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18475" r:id="rId24" name="Drop Down 43">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18476" r:id="rId25" name="Drop Down 44">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18477" r:id="rId26" name="Drop Down 45">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18478" r:id="rId27" name="Drop Down 46">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18479" r:id="rId28" name="Drop Down 47">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18480" r:id="rId29" name="Drop Down 48">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18481" r:id="rId30" name="Drop Down 49">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18483" r:id="rId31" name="Drop Down 51">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18486" r:id="rId32" name="Drop Down 54">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18488" r:id="rId33" name="Drop Down 56">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18490" r:id="rId34" name="Drop Down 58">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18493" r:id="rId35" name="Drop Down 6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18494" r:id="rId36" name="Drop Down 6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FFC000"/>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'Silomais(a)'!M2</f>
        <v>Silomais</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'Silomais(a)'!H3</f>
        <v xml:space="preserve">Silomais, Aussaat und Ernte im Lohn, Silage im Flachsilo </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1366"/>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20"/>
      <c r="J6" s="220"/>
      <c r="K6" s="220"/>
      <c r="L6" s="425" t="s">
        <v>72</v>
      </c>
      <c r="M6" s="258">
        <f>'Silomais(a)'!K5</f>
        <v>100</v>
      </c>
      <c r="N6" s="1290">
        <f>'Silomais(a)'!M5</f>
        <v>120</v>
      </c>
      <c r="O6" s="1298">
        <f>'Silomais(a)'!O5</f>
        <v>160</v>
      </c>
      <c r="P6" s="163"/>
      <c r="AD6" s="163"/>
      <c r="AE6" s="163"/>
      <c r="AF6" s="163"/>
      <c r="AG6" s="163"/>
      <c r="AH6" s="163"/>
      <c r="AI6" s="163"/>
      <c r="AJ6" s="163"/>
      <c r="AK6" s="163"/>
      <c r="AL6" s="163"/>
      <c r="AM6" s="163"/>
      <c r="AN6" s="7"/>
      <c r="AO6" s="17">
        <v>2</v>
      </c>
    </row>
    <row r="7" spans="1:68" s="168" customFormat="1" ht="20.399999999999999" customHeight="1" x14ac:dyDescent="0.2">
      <c r="B7" s="3358"/>
      <c r="C7" s="1308">
        <v>4</v>
      </c>
      <c r="D7" s="332" t="s">
        <v>108</v>
      </c>
      <c r="F7" s="163"/>
      <c r="G7" s="26"/>
      <c r="H7" s="26"/>
      <c r="I7" s="220"/>
      <c r="J7" s="220"/>
      <c r="K7" s="220"/>
      <c r="L7" s="425" t="s">
        <v>72</v>
      </c>
      <c r="M7" s="391">
        <f>'Silomais(a)'!K9</f>
        <v>100</v>
      </c>
      <c r="N7" s="1291">
        <f>'Silomais(a)'!M9</f>
        <v>120</v>
      </c>
      <c r="O7" s="1299">
        <f>'Silomais(a)'!O9</f>
        <v>160</v>
      </c>
      <c r="P7" s="163"/>
      <c r="AD7" s="163"/>
      <c r="AE7" s="163"/>
      <c r="AF7" s="163"/>
      <c r="AG7" s="163"/>
      <c r="AH7" s="163"/>
      <c r="AI7" s="163"/>
      <c r="AJ7" s="163"/>
      <c r="AK7" s="163"/>
      <c r="AL7" s="163"/>
      <c r="AM7" s="163"/>
      <c r="AN7" s="7"/>
      <c r="AO7" s="17"/>
    </row>
    <row r="8" spans="1:68" s="1" customFormat="1" ht="16.5" customHeight="1" x14ac:dyDescent="0.2">
      <c r="A8" s="168"/>
      <c r="B8" s="3358"/>
      <c r="C8" s="1345">
        <v>5</v>
      </c>
      <c r="D8" s="1322"/>
      <c r="E8" s="381"/>
      <c r="F8" s="36"/>
      <c r="G8" s="14"/>
      <c r="H8" s="14"/>
      <c r="I8" s="323"/>
      <c r="J8" s="323"/>
      <c r="K8" s="323"/>
      <c r="L8" s="139" t="s">
        <v>376</v>
      </c>
      <c r="M8" s="404">
        <f>'Silomais(a)'!L9</f>
        <v>303.030303030303</v>
      </c>
      <c r="N8" s="1292">
        <f>'Silomais(a)'!N9</f>
        <v>363.63636363636363</v>
      </c>
      <c r="O8" s="1201">
        <f>'Silomais(a)'!P9</f>
        <v>484.84848484848487</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20"/>
      <c r="J9" s="220"/>
      <c r="K9" s="220"/>
      <c r="L9" s="425" t="s">
        <v>72</v>
      </c>
      <c r="M9" s="967">
        <f>'Silomais(a)'!K11</f>
        <v>95</v>
      </c>
      <c r="N9" s="1181">
        <f>'Silomais(a)'!M11</f>
        <v>114</v>
      </c>
      <c r="O9" s="1302">
        <f>'Silomais(a)'!O11</f>
        <v>152</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20"/>
      <c r="J10" s="220"/>
      <c r="K10" s="220"/>
      <c r="L10" s="425" t="s">
        <v>376</v>
      </c>
      <c r="M10" s="1469">
        <f>'Silomais(a)'!L11</f>
        <v>271.42857142857144</v>
      </c>
      <c r="N10" s="1200">
        <f>'Silomais(a)'!N11</f>
        <v>325.71428571428572</v>
      </c>
      <c r="O10" s="1470">
        <f>'Silomais(a)'!P11</f>
        <v>434.28571428571428</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'Silomais(a)'!L12</f>
        <v>38.775510204081634</v>
      </c>
      <c r="N11" s="1358">
        <f>'Silomais(a)'!N12</f>
        <v>46.530612244897959</v>
      </c>
      <c r="O11" s="1359">
        <f>'Silomais(a)'!P12</f>
        <v>62.04081632653061</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'Silomais(a)'!K15</f>
        <v>6080</v>
      </c>
      <c r="N12" s="1293">
        <f>'Silomais(a)'!M15</f>
        <v>7410</v>
      </c>
      <c r="O12" s="1300">
        <f>'Silomais(a)'!O15</f>
        <v>10032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'Silomais(a)'!K16</f>
        <v>10133.333333333336</v>
      </c>
      <c r="N13" s="1533">
        <f>'Silomais(a)'!M16</f>
        <v>12350</v>
      </c>
      <c r="O13" s="1534">
        <f>'Silomais(a)'!O16</f>
        <v>16720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'Silomais(a)'!L24</f>
        <v>270</v>
      </c>
      <c r="N15" s="2135">
        <f>'Silomais(a)'!N24</f>
        <v>270</v>
      </c>
      <c r="O15" s="2138">
        <f>'Silomais(a)'!P24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'Silomais(a)'!L18</f>
        <v>230</v>
      </c>
      <c r="N16" s="1291">
        <f>'Silomais(a)'!N18</f>
        <v>230</v>
      </c>
      <c r="O16" s="2140">
        <f>'Silomais(a)'!P18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86" t="s">
        <v>459</v>
      </c>
      <c r="C19" s="1204">
        <f>C17+1</f>
        <v>14</v>
      </c>
      <c r="D19" s="3389"/>
      <c r="E19" s="1526" t="s">
        <v>215</v>
      </c>
      <c r="F19" s="1526"/>
      <c r="G19" s="1526"/>
      <c r="H19" s="1526"/>
      <c r="I19" s="1526"/>
      <c r="J19" s="1526"/>
      <c r="K19" s="1526"/>
      <c r="L19" s="1540" t="s">
        <v>154</v>
      </c>
      <c r="M19" s="1527">
        <f>'Silomais(a)'!L27</f>
        <v>282.48</v>
      </c>
      <c r="N19" s="1528">
        <f>'Silomais(a)'!N27</f>
        <v>282.48</v>
      </c>
      <c r="O19" s="1529">
        <f>'Silomais(a)'!P27</f>
        <v>282.48</v>
      </c>
      <c r="P19" s="163"/>
      <c r="AD19" s="163"/>
      <c r="AE19" s="163"/>
      <c r="AF19" s="163"/>
      <c r="AG19" s="163"/>
      <c r="AH19" s="163"/>
      <c r="AI19" s="163"/>
      <c r="AJ19" s="163"/>
      <c r="AK19" s="163"/>
      <c r="AL19" s="163"/>
      <c r="AM19" s="163"/>
      <c r="AO19" s="233"/>
    </row>
    <row r="20" spans="1:68" ht="16.5" customHeight="1" x14ac:dyDescent="0.2">
      <c r="B20" s="3387"/>
      <c r="C20" s="1308">
        <f>C19+1</f>
        <v>15</v>
      </c>
      <c r="D20" s="3390"/>
      <c r="E20" s="16" t="s">
        <v>597</v>
      </c>
      <c r="F20" s="16"/>
      <c r="G20" s="16"/>
      <c r="H20" s="16"/>
      <c r="I20" s="16"/>
      <c r="J20" s="16"/>
      <c r="K20" s="16"/>
      <c r="L20" s="1541" t="s">
        <v>154</v>
      </c>
      <c r="M20" s="235">
        <f>'Silomais(a)'!L31</f>
        <v>791.35</v>
      </c>
      <c r="N20" s="1186">
        <f>'Silomais(a)'!N31</f>
        <v>949.62000000000012</v>
      </c>
      <c r="O20" s="1192">
        <f>'Silomais(a)'!P31</f>
        <v>1266.1600000000001</v>
      </c>
      <c r="P20" s="163"/>
      <c r="AD20" s="233"/>
      <c r="AE20" s="233"/>
      <c r="AF20" s="233"/>
      <c r="AG20" s="233"/>
      <c r="AH20" s="233"/>
      <c r="AI20" s="19"/>
      <c r="AJ20" s="520"/>
      <c r="AK20" s="521"/>
      <c r="AL20" s="520"/>
      <c r="AM20" s="520"/>
      <c r="AO20" s="233"/>
    </row>
    <row r="21" spans="1:68" ht="16.5" customHeight="1" x14ac:dyDescent="0.2">
      <c r="B21" s="3387"/>
      <c r="C21" s="1308">
        <f>C20+1</f>
        <v>16</v>
      </c>
      <c r="D21" s="3390"/>
      <c r="E21" s="17" t="s">
        <v>227</v>
      </c>
      <c r="F21" s="17"/>
      <c r="G21" s="17"/>
      <c r="H21" s="17"/>
      <c r="I21" s="17"/>
      <c r="J21" s="17"/>
      <c r="K21" s="17"/>
      <c r="L21" s="1541" t="s">
        <v>154</v>
      </c>
      <c r="M21" s="235">
        <f>'Silomais(a)'!L37</f>
        <v>0</v>
      </c>
      <c r="N21" s="1186">
        <f>'Silomais(a)'!N37</f>
        <v>0</v>
      </c>
      <c r="O21" s="1192">
        <f>'Silomais(a)'!P37</f>
        <v>0</v>
      </c>
      <c r="P21" s="163"/>
      <c r="AD21" s="233"/>
      <c r="AE21" s="233"/>
      <c r="AF21" s="233"/>
      <c r="AG21" s="233"/>
      <c r="AH21" s="233"/>
      <c r="AI21" s="19"/>
      <c r="AJ21" s="520"/>
      <c r="AK21" s="521"/>
      <c r="AL21" s="520"/>
      <c r="AM21" s="520"/>
      <c r="AO21" s="233"/>
    </row>
    <row r="22" spans="1:68" ht="16.5" customHeight="1" x14ac:dyDescent="0.2">
      <c r="B22" s="3387"/>
      <c r="C22" s="1308">
        <f>C21+1</f>
        <v>17</v>
      </c>
      <c r="D22" s="3390"/>
      <c r="E22" s="17" t="s">
        <v>448</v>
      </c>
      <c r="F22" s="17"/>
      <c r="G22" s="17"/>
      <c r="H22" s="17"/>
      <c r="I22" s="17"/>
      <c r="J22" s="17"/>
      <c r="K22" s="17"/>
      <c r="L22" s="1541" t="s">
        <v>154</v>
      </c>
      <c r="M22" s="235">
        <f>'Silomais(a)'!L65</f>
        <v>20.793600000000001</v>
      </c>
      <c r="N22" s="1186">
        <f>'Silomais(a)'!N65</f>
        <v>25.342199999999998</v>
      </c>
      <c r="O22" s="1192">
        <f>'Silomais(a)'!P65</f>
        <v>34.309440000000002</v>
      </c>
      <c r="P22" s="163"/>
      <c r="AD22" s="233"/>
      <c r="AE22" s="233"/>
      <c r="AF22" s="233"/>
      <c r="AG22" s="233"/>
      <c r="AH22" s="233"/>
      <c r="AI22" s="19"/>
      <c r="AJ22" s="520"/>
      <c r="AK22" s="521"/>
      <c r="AL22" s="520"/>
      <c r="AM22" s="520"/>
      <c r="AO22" s="233"/>
    </row>
    <row r="23" spans="1:68" ht="16.5" customHeight="1" x14ac:dyDescent="0.2">
      <c r="B23" s="3387"/>
      <c r="C23" s="1308">
        <f>C22+1</f>
        <v>18</v>
      </c>
      <c r="D23" s="3390"/>
      <c r="E23" s="17" t="s">
        <v>451</v>
      </c>
      <c r="F23" s="17"/>
      <c r="G23" s="17"/>
      <c r="H23" s="17"/>
      <c r="I23" s="17"/>
      <c r="J23" s="17"/>
      <c r="K23" s="17"/>
      <c r="L23" s="1541" t="s">
        <v>154</v>
      </c>
      <c r="M23" s="235">
        <f>'Silomais(a)'!L67</f>
        <v>51.17</v>
      </c>
      <c r="N23" s="1186">
        <f>'Silomais(a)'!N67</f>
        <v>51.17</v>
      </c>
      <c r="O23" s="1192">
        <f>'Silomais(a)'!P67</f>
        <v>51.17</v>
      </c>
      <c r="P23" s="163"/>
      <c r="AD23" s="233"/>
      <c r="AE23" s="233"/>
      <c r="AF23" s="233"/>
      <c r="AG23" s="233"/>
      <c r="AH23" s="233"/>
      <c r="AI23" s="19"/>
      <c r="AJ23" s="520"/>
      <c r="AK23" s="521"/>
      <c r="AL23" s="520"/>
      <c r="AM23" s="520"/>
      <c r="AO23" s="233"/>
    </row>
    <row r="24" spans="1:68" ht="16.5" customHeight="1" x14ac:dyDescent="0.2">
      <c r="B24" s="3387"/>
      <c r="C24" s="1308">
        <f t="shared" ref="C24:C34" si="0">C23+1</f>
        <v>19</v>
      </c>
      <c r="D24" s="1347"/>
      <c r="E24" s="17" t="s">
        <v>246</v>
      </c>
      <c r="F24" s="17"/>
      <c r="G24" s="17"/>
      <c r="H24" s="17"/>
      <c r="I24" s="17"/>
      <c r="J24" s="17"/>
      <c r="K24" s="17"/>
      <c r="L24" s="1541" t="s">
        <v>154</v>
      </c>
      <c r="M24" s="235">
        <f>'Silomais(a)'!L42</f>
        <v>206.73416028075147</v>
      </c>
      <c r="N24" s="1186">
        <f>'Silomais(a)'!N42</f>
        <v>217.1983385757818</v>
      </c>
      <c r="O24" s="1192">
        <f>'Silomais(a)'!P42</f>
        <v>238.12669516584239</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'Silomais(a)'!L58</f>
        <v>258.82500000000005</v>
      </c>
      <c r="N25" s="1186">
        <f>'Silomais(a)'!N58</f>
        <v>279.64999999999998</v>
      </c>
      <c r="O25" s="1192">
        <f>'Silomais(a)'!P58</f>
        <v>300.47500000000002</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'Silomais(a)'!L63</f>
        <v>0</v>
      </c>
      <c r="N26" s="1438">
        <f>'Silomais(a)'!N63</f>
        <v>0</v>
      </c>
      <c r="O26" s="1439">
        <f>'Silomais(a)'!P63</f>
        <v>0</v>
      </c>
      <c r="P26" s="163"/>
      <c r="AD26" s="233"/>
      <c r="AE26" s="233"/>
      <c r="AF26" s="233"/>
      <c r="AG26" s="233"/>
      <c r="AH26" s="233"/>
      <c r="AI26" s="19"/>
      <c r="AJ26" s="520"/>
      <c r="AK26" s="521"/>
      <c r="AL26" s="520"/>
      <c r="AM26" s="520"/>
      <c r="AO26" s="233"/>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1611.3527602807515</v>
      </c>
      <c r="N27" s="1319">
        <f>SUM(N19:N26)</f>
        <v>1805.4605385757823</v>
      </c>
      <c r="O27" s="1511">
        <f>SUM(O19:O26)</f>
        <v>2172.7211351658425</v>
      </c>
      <c r="P27" s="163"/>
      <c r="AD27" s="233"/>
      <c r="AE27" s="233"/>
      <c r="AF27" s="233"/>
      <c r="AG27" s="233"/>
      <c r="AH27" s="233"/>
      <c r="AI27" s="19"/>
      <c r="AJ27" s="520"/>
      <c r="AK27" s="521"/>
      <c r="AL27" s="520"/>
      <c r="AM27" s="520"/>
      <c r="AO27" s="233"/>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-1611.3527602807515</v>
      </c>
      <c r="N28" s="1321">
        <f>-N27</f>
        <v>-1805.4605385757823</v>
      </c>
      <c r="O28" s="1321">
        <f>-O27</f>
        <v>-2172.7211351658425</v>
      </c>
      <c r="P28" s="163"/>
      <c r="AD28" s="233"/>
      <c r="AE28" s="233"/>
      <c r="AF28" s="233"/>
      <c r="AG28" s="233"/>
      <c r="AH28" s="233"/>
      <c r="AI28" s="19"/>
      <c r="AJ28" s="520"/>
      <c r="AK28" s="521"/>
      <c r="AL28" s="520"/>
      <c r="AM28" s="520"/>
      <c r="AO28" s="233"/>
    </row>
    <row r="29" spans="1:68" ht="20.399999999999999" customHeight="1" x14ac:dyDescent="0.2">
      <c r="B29" s="3396"/>
      <c r="C29" s="1308">
        <v>24</v>
      </c>
      <c r="D29" s="1783"/>
      <c r="E29" s="1363"/>
      <c r="F29" s="1784"/>
      <c r="G29" s="1784"/>
      <c r="H29" s="1784"/>
      <c r="I29" s="1784"/>
      <c r="J29" s="1784"/>
      <c r="K29" s="1784"/>
      <c r="L29" s="1510" t="s">
        <v>158</v>
      </c>
      <c r="M29" s="1377">
        <f>IF(M$8=0,0,M$28/M$12)</f>
        <v>-0.2650251250461762</v>
      </c>
      <c r="N29" s="1377">
        <f>IF(N$8=0,0,N$28/N$12)</f>
        <v>-0.24365189454463998</v>
      </c>
      <c r="O29" s="1377">
        <f>IF(O$8=0,0,O$28/O$12)</f>
        <v>-0.21657906052291093</v>
      </c>
      <c r="P29" s="163"/>
      <c r="AD29" s="233"/>
      <c r="AE29" s="233"/>
      <c r="AF29" s="233"/>
      <c r="AG29" s="233"/>
      <c r="AH29" s="233"/>
      <c r="AI29" s="19"/>
      <c r="AJ29" s="520"/>
      <c r="AK29" s="521"/>
      <c r="AL29" s="520"/>
      <c r="AM29" s="520"/>
      <c r="AO29" s="233"/>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33"/>
      <c r="AE30" s="233"/>
      <c r="AF30" s="233"/>
      <c r="AG30" s="233"/>
      <c r="AH30" s="233"/>
      <c r="AI30" s="19"/>
      <c r="AJ30" s="520"/>
      <c r="AK30" s="521"/>
      <c r="AL30" s="520"/>
      <c r="AM30" s="520"/>
      <c r="AO30" s="233"/>
    </row>
    <row r="31" spans="1:68" ht="16.5" customHeight="1" x14ac:dyDescent="0.2">
      <c r="B31" s="3387"/>
      <c r="C31" s="1345">
        <f t="shared" si="0"/>
        <v>25</v>
      </c>
      <c r="D31" s="1322"/>
      <c r="E31" s="1435" t="s">
        <v>508</v>
      </c>
      <c r="F31" s="142"/>
      <c r="G31" s="142"/>
      <c r="H31" s="142"/>
      <c r="I31" s="142"/>
      <c r="J31" s="142"/>
      <c r="K31" s="142"/>
      <c r="L31" s="1436" t="s">
        <v>154</v>
      </c>
      <c r="M31" s="1437">
        <f>M27*'Silomais(a)'!$L$70*'Silomais(a)'!$P$70/12/100</f>
        <v>10.070954751754696</v>
      </c>
      <c r="N31" s="1438">
        <f>N27*'Silomais(a)'!$L$70*'Silomais(a)'!$P$70/12/100</f>
        <v>11.284128366098638</v>
      </c>
      <c r="O31" s="1439">
        <f>O27*'Silomais(a)'!$L$70*'Silomais(a)'!$P$70/12/100</f>
        <v>13.579507094786516</v>
      </c>
      <c r="P31" s="163"/>
      <c r="T31" s="7" t="s">
        <v>581</v>
      </c>
      <c r="U31" s="2121"/>
      <c r="V31" s="2121"/>
      <c r="W31" s="2121"/>
      <c r="X31" s="2121"/>
      <c r="Y31" s="2121"/>
      <c r="Z31" s="2116">
        <f>'Silomais(a)'!Q18+'Silomais(a)'!Q24</f>
        <v>0</v>
      </c>
      <c r="AD31" s="233"/>
      <c r="AE31" s="233"/>
      <c r="AF31" s="233"/>
      <c r="AG31" s="233"/>
      <c r="AH31" s="233"/>
      <c r="AI31" s="19"/>
      <c r="AJ31" s="520"/>
      <c r="AK31" s="521"/>
      <c r="AL31" s="520"/>
      <c r="AM31" s="520"/>
      <c r="AO31" s="233"/>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-1121.4237150325062</v>
      </c>
      <c r="N32" s="1313">
        <f>N28+N30-N31</f>
        <v>-1316.744666941881</v>
      </c>
      <c r="O32" s="1320">
        <f>O28+O30-O31</f>
        <v>-1686.300642260629</v>
      </c>
      <c r="P32" s="163"/>
      <c r="T32" s="7" t="s">
        <v>582</v>
      </c>
      <c r="AD32" s="233"/>
      <c r="AE32" s="233"/>
      <c r="AF32" s="233"/>
      <c r="AG32" s="233"/>
      <c r="AH32" s="233"/>
      <c r="AI32" s="19"/>
      <c r="AJ32" s="520"/>
      <c r="AK32" s="521"/>
      <c r="AL32" s="520"/>
      <c r="AM32" s="520"/>
      <c r="AO32" s="233"/>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-0.18444468997245167</v>
      </c>
      <c r="N33" s="1180">
        <f>IF(N12=0,0,N32/N12)</f>
        <v>-0.17769833561968704</v>
      </c>
      <c r="O33" s="1503">
        <f>IF(O12=0,0,O32/O12)</f>
        <v>-0.16809216928435297</v>
      </c>
      <c r="P33" s="163"/>
      <c r="AD33" s="233"/>
      <c r="AE33" s="233"/>
      <c r="AF33" s="233"/>
      <c r="AG33" s="233"/>
      <c r="AH33" s="233"/>
      <c r="AI33" s="19"/>
      <c r="AJ33" s="520"/>
      <c r="AK33" s="521"/>
      <c r="AL33" s="520"/>
      <c r="AM33" s="520"/>
      <c r="AO33" s="233"/>
    </row>
    <row r="34" spans="1:41" ht="20.25" customHeight="1" thickBot="1" x14ac:dyDescent="0.25">
      <c r="A34" s="247"/>
      <c r="B34" s="3388"/>
      <c r="C34" s="1346">
        <f t="shared" si="0"/>
        <v>28</v>
      </c>
      <c r="D34" s="1504"/>
      <c r="E34" s="1505"/>
      <c r="F34" s="1505"/>
      <c r="G34" s="1505"/>
      <c r="H34" s="1505"/>
      <c r="I34" s="1505"/>
      <c r="J34" s="1505"/>
      <c r="K34" s="1505"/>
      <c r="L34" s="1506" t="s">
        <v>159</v>
      </c>
      <c r="M34" s="1507">
        <f>IF(M13=0,0,M32/M13)</f>
        <v>-0.11066681398347097</v>
      </c>
      <c r="N34" s="1194">
        <f>IF(N13=0,0,N32/N13)</f>
        <v>-0.10661900137181222</v>
      </c>
      <c r="O34" s="1508">
        <f>IF(O13=0,0,O32/O13)</f>
        <v>-0.10085530157061179</v>
      </c>
      <c r="P34" s="163"/>
      <c r="AD34" s="233"/>
      <c r="AE34" s="233"/>
      <c r="AF34" s="233"/>
      <c r="AG34" s="233"/>
      <c r="AH34" s="233"/>
      <c r="AI34" s="19"/>
      <c r="AJ34" s="520"/>
      <c r="AK34" s="521"/>
      <c r="AL34" s="520"/>
      <c r="AM34" s="520"/>
      <c r="AO34" s="233"/>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'Silomais(a)'!K57</f>
        <v>15.518595959595958</v>
      </c>
      <c r="N36" s="1771">
        <f>'Silomais(a)'!M57</f>
        <v>16.490515151515151</v>
      </c>
      <c r="O36" s="1773">
        <f>'Silomais(a)'!O57</f>
        <v>18.434353535353534</v>
      </c>
      <c r="P36" s="163"/>
      <c r="AD36" s="163"/>
      <c r="AE36" s="163"/>
      <c r="AF36" s="163"/>
      <c r="AG36" s="163"/>
      <c r="AH36" s="163"/>
      <c r="AI36" s="163"/>
      <c r="AJ36" s="163"/>
      <c r="AK36" s="163"/>
      <c r="AL36" s="163"/>
      <c r="AM36" s="163"/>
      <c r="AO36" s="238"/>
    </row>
    <row r="37" spans="1:41" ht="17.7" customHeight="1" x14ac:dyDescent="0.3">
      <c r="A37" s="163"/>
      <c r="B37" s="3356"/>
      <c r="C37" s="1372">
        <f>C36+1</f>
        <v>30</v>
      </c>
      <c r="D37" s="1454"/>
      <c r="E37" s="142" t="s">
        <v>162</v>
      </c>
      <c r="F37" s="142"/>
      <c r="G37" s="1530"/>
      <c r="H37" s="1530"/>
      <c r="I37" s="1539">
        <f>IF(M37=0,0,'Lager-Fläche'!$L$13)</f>
        <v>2.5287500000000001</v>
      </c>
      <c r="J37" s="218" t="s">
        <v>32</v>
      </c>
      <c r="K37" s="218"/>
      <c r="L37" s="1531" t="s">
        <v>378</v>
      </c>
      <c r="M37" s="1802">
        <f>'Silomais(a)'!L10</f>
        <v>43.290043290043286</v>
      </c>
      <c r="N37" s="1803">
        <f>'Silomais(a)'!N10</f>
        <v>51.94805194805194</v>
      </c>
      <c r="O37" s="1804">
        <f>'Silomais(a)'!P10</f>
        <v>69.264069264069263</v>
      </c>
      <c r="P37" s="163"/>
      <c r="AD37" s="163"/>
      <c r="AE37" s="163"/>
      <c r="AF37" s="163"/>
      <c r="AG37" s="163"/>
      <c r="AH37" s="163"/>
      <c r="AI37" s="163"/>
      <c r="AJ37" s="163"/>
      <c r="AK37" s="163"/>
      <c r="AL37" s="163"/>
      <c r="AM37" s="163"/>
      <c r="AO37" s="238"/>
    </row>
    <row r="38" spans="1:41" ht="20.399999999999999" customHeight="1" x14ac:dyDescent="0.2">
      <c r="A38" s="163"/>
      <c r="B38" s="3356"/>
      <c r="C38" s="1349">
        <f>C37+1</f>
        <v>31</v>
      </c>
      <c r="D38" s="1347"/>
      <c r="E38" s="17" t="s">
        <v>212</v>
      </c>
      <c r="F38" s="17"/>
      <c r="G38" s="163"/>
      <c r="H38" s="163"/>
      <c r="J38" s="1380">
        <f>Preise!$M$37</f>
        <v>16.5</v>
      </c>
      <c r="K38" s="299" t="s">
        <v>311</v>
      </c>
      <c r="L38" s="425" t="s">
        <v>154</v>
      </c>
      <c r="M38" s="1800">
        <f>$J$38*M36</f>
        <v>256.05683333333332</v>
      </c>
      <c r="N38" s="1186">
        <f>$J$38*N36</f>
        <v>272.09350000000001</v>
      </c>
      <c r="O38" s="1192">
        <f>$J$38*O36</f>
        <v>304.16683333333333</v>
      </c>
      <c r="P38" s="163"/>
      <c r="AD38" s="163"/>
      <c r="AE38" s="163"/>
      <c r="AF38" s="163"/>
      <c r="AG38" s="163"/>
      <c r="AH38" s="163"/>
      <c r="AI38" s="163"/>
      <c r="AJ38" s="163"/>
      <c r="AK38" s="163"/>
      <c r="AL38" s="163"/>
      <c r="AM38" s="163"/>
      <c r="AO38" s="238"/>
    </row>
    <row r="39" spans="1:41" s="168" customFormat="1" ht="17.7" customHeight="1" x14ac:dyDescent="0.2">
      <c r="B39" s="3356"/>
      <c r="C39" s="1349">
        <f t="shared" ref="C39:C44" si="1">C38+1</f>
        <v>32</v>
      </c>
      <c r="D39" s="1440"/>
      <c r="E39" s="17" t="s">
        <v>216</v>
      </c>
      <c r="F39" s="17"/>
      <c r="G39" s="17"/>
      <c r="K39" s="7"/>
      <c r="L39" s="425" t="s">
        <v>154</v>
      </c>
      <c r="M39" s="235">
        <f>M37*$I$37</f>
        <v>109.46969696969697</v>
      </c>
      <c r="N39" s="1805">
        <f>N37*$I$37</f>
        <v>131.36363636363635</v>
      </c>
      <c r="O39" s="1801">
        <f>O37*$I$37</f>
        <v>175.15151515151516</v>
      </c>
      <c r="P39" s="163"/>
      <c r="AD39" s="163"/>
      <c r="AE39" s="163"/>
      <c r="AF39" s="163"/>
      <c r="AG39" s="163"/>
      <c r="AH39" s="163"/>
      <c r="AI39" s="163"/>
      <c r="AJ39" s="163"/>
      <c r="AK39" s="163"/>
      <c r="AL39" s="163"/>
      <c r="AM39" s="163"/>
      <c r="AN39" s="7"/>
      <c r="AO39" s="17"/>
    </row>
    <row r="40" spans="1:41" ht="16.5" customHeight="1" x14ac:dyDescent="0.2">
      <c r="A40" s="163"/>
      <c r="B40" s="3356"/>
      <c r="C40" s="1349">
        <f t="shared" si="1"/>
        <v>33</v>
      </c>
      <c r="D40" s="1347"/>
      <c r="E40" s="17" t="s">
        <v>228</v>
      </c>
      <c r="F40" s="17"/>
      <c r="G40" s="17"/>
      <c r="H40" s="17"/>
      <c r="I40" s="17"/>
      <c r="J40" s="17"/>
      <c r="K40" s="17"/>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17" t="s">
        <v>243</v>
      </c>
      <c r="F41" s="17"/>
      <c r="G41" s="17"/>
      <c r="H41" s="17"/>
      <c r="I41" s="17"/>
      <c r="J41" s="17"/>
      <c r="K41" s="17"/>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17" t="s">
        <v>396</v>
      </c>
      <c r="F42" s="17"/>
      <c r="G42" s="17"/>
      <c r="H42" s="17"/>
      <c r="I42" s="17"/>
      <c r="J42" s="17"/>
      <c r="K42" s="17"/>
      <c r="L42" s="1198" t="s">
        <v>154</v>
      </c>
      <c r="M42" s="235">
        <f>'Lager-Fläche'!$L46</f>
        <v>220</v>
      </c>
      <c r="N42" s="1186">
        <f>'Lager-Fläche'!$L47</f>
        <v>270</v>
      </c>
      <c r="O42" s="1192">
        <f>'Lager-Fläche'!$L48</f>
        <v>320</v>
      </c>
      <c r="P42" s="163"/>
      <c r="AD42" s="17"/>
      <c r="AE42" s="17"/>
      <c r="AF42" s="17"/>
      <c r="AG42" s="17"/>
      <c r="AH42" s="17"/>
      <c r="AI42" s="19"/>
      <c r="AJ42" s="1082"/>
      <c r="AK42" s="1083"/>
      <c r="AL42" s="1082"/>
      <c r="AM42" s="1082"/>
      <c r="AO42" s="238"/>
    </row>
    <row r="43" spans="1:41" ht="16.5" customHeight="1" x14ac:dyDescent="0.2">
      <c r="B43" s="3356"/>
      <c r="C43" s="1372">
        <f t="shared" si="1"/>
        <v>36</v>
      </c>
      <c r="D43" s="1496"/>
      <c r="E43" s="142" t="s">
        <v>244</v>
      </c>
      <c r="F43" s="142"/>
      <c r="G43" s="142"/>
      <c r="H43" s="142"/>
      <c r="I43" s="142"/>
      <c r="J43" s="142"/>
      <c r="K43" s="142"/>
      <c r="L43" s="1212" t="s">
        <v>154</v>
      </c>
      <c r="M43" s="1437">
        <f>'Lager-Fläche'!L56</f>
        <v>124.95</v>
      </c>
      <c r="N43" s="1438">
        <f>'Lager-Fläche'!$L$56</f>
        <v>124.95</v>
      </c>
      <c r="O43" s="1439">
        <f>'Lager-Fläche'!$L$56</f>
        <v>124.95</v>
      </c>
      <c r="P43" s="163"/>
      <c r="AD43" s="17"/>
      <c r="AE43" s="17"/>
      <c r="AF43" s="17"/>
      <c r="AG43" s="17"/>
      <c r="AH43" s="17"/>
      <c r="AI43" s="19"/>
      <c r="AJ43" s="1082"/>
      <c r="AK43" s="1083"/>
      <c r="AL43" s="1082"/>
      <c r="AM43" s="1082"/>
      <c r="AO43" s="238"/>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1042.4948206363638</v>
      </c>
      <c r="N44" s="1449">
        <f>SUM(N38:N43)</f>
        <v>1130.4254266969697</v>
      </c>
      <c r="O44" s="1452">
        <f>SUM(O38:O43)</f>
        <v>1256.2866388181819</v>
      </c>
      <c r="P44" s="163"/>
      <c r="AD44" s="17"/>
      <c r="AE44" s="17"/>
      <c r="AF44" s="163"/>
      <c r="AG44" s="159"/>
      <c r="AH44" s="163"/>
      <c r="AI44" s="163"/>
      <c r="AJ44" s="1082"/>
      <c r="AK44" s="1083"/>
      <c r="AL44" s="1082"/>
      <c r="AM44" s="1082"/>
      <c r="AO44" s="238"/>
    </row>
    <row r="45" spans="1:41" ht="5.95" customHeight="1" thickBot="1" x14ac:dyDescent="0.25">
      <c r="B45" s="1327"/>
      <c r="C45" s="1450"/>
      <c r="D45" s="9"/>
      <c r="F45" s="9"/>
      <c r="G45" s="9"/>
      <c r="H45" s="9"/>
      <c r="I45" s="9"/>
      <c r="J45" s="9"/>
      <c r="K45" s="9"/>
      <c r="L45" s="1198"/>
      <c r="M45" s="1314"/>
      <c r="N45" s="1498"/>
      <c r="O45" s="1441"/>
      <c r="P45" s="163"/>
      <c r="AD45" s="17"/>
      <c r="AE45" s="17"/>
      <c r="AF45" s="163"/>
      <c r="AG45" s="159"/>
      <c r="AH45" s="163"/>
      <c r="AI45" s="163"/>
      <c r="AJ45" s="1082"/>
      <c r="AK45" s="1083"/>
      <c r="AL45" s="1082"/>
      <c r="AM45" s="1082"/>
      <c r="AO45" s="238"/>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17"/>
      <c r="AE46" s="17"/>
      <c r="AF46" s="163"/>
      <c r="AG46" s="159"/>
      <c r="AH46" s="163"/>
      <c r="AI46" s="163"/>
      <c r="AJ46" s="1082"/>
      <c r="AK46" s="1083"/>
      <c r="AL46" s="1082"/>
      <c r="AM46" s="1082"/>
      <c r="AO46" s="238"/>
    </row>
    <row r="47" spans="1:41" ht="18.7" customHeight="1" thickBot="1" x14ac:dyDescent="0.25">
      <c r="B47" s="3358"/>
      <c r="C47" s="1350">
        <f>C46+1</f>
        <v>39</v>
      </c>
      <c r="D47" s="1193" t="s">
        <v>589</v>
      </c>
      <c r="E47" s="1334"/>
      <c r="F47" s="1451"/>
      <c r="G47" s="1451"/>
      <c r="H47" s="1451"/>
      <c r="I47" s="1535"/>
      <c r="J47" s="1535"/>
      <c r="K47" s="1535"/>
      <c r="L47" s="1209" t="s">
        <v>154</v>
      </c>
      <c r="M47" s="1497">
        <f>M27+M31+M44</f>
        <v>2663.9185356688699</v>
      </c>
      <c r="N47" s="1497">
        <f>N27+N31+N44</f>
        <v>2947.1700936388506</v>
      </c>
      <c r="O47" s="1536">
        <f>O27+O31+O44</f>
        <v>3442.587281078811</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-2663.9185356688699</v>
      </c>
      <c r="N48" s="1667">
        <f>N46-N47</f>
        <v>-2947.1700936388506</v>
      </c>
      <c r="O48" s="1668">
        <f>O46-O47</f>
        <v>-3442.587281078811</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17"/>
      <c r="AI49" s="17"/>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-2163.9185356688699</v>
      </c>
      <c r="N50" s="1449">
        <f>N48+N49</f>
        <v>-2447.1700936388506</v>
      </c>
      <c r="O50" s="1452">
        <f>O48+O49</f>
        <v>-2942.587281078811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2163.9185356688699</v>
      </c>
      <c r="N52" s="1315">
        <f>N47-N49</f>
        <v>2447.1700936388506</v>
      </c>
      <c r="O52" s="2149">
        <f>O47-O49</f>
        <v>2942.587281078811</v>
      </c>
      <c r="P52" s="163"/>
      <c r="AD52" s="17"/>
      <c r="AE52" s="17"/>
      <c r="AF52" s="17"/>
      <c r="AG52" s="17"/>
      <c r="AH52" s="238"/>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7.9723314472010989</v>
      </c>
      <c r="N53" s="1740">
        <f>IF(N10=0,0,N$52/N10)</f>
        <v>7.5132415155578745</v>
      </c>
      <c r="O53" s="1741">
        <f>IF(O10=0,0,O$52/O10)</f>
        <v>6.7756943972209465</v>
      </c>
      <c r="P53" s="163"/>
      <c r="AD53" s="17"/>
      <c r="AE53" s="17"/>
      <c r="AF53" s="17"/>
      <c r="AG53" s="17"/>
      <c r="AH53" s="238"/>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22.778089849145999</v>
      </c>
      <c r="N54" s="1740">
        <f>IF(N9=0,0,N$52/N9)</f>
        <v>21.466404330165357</v>
      </c>
      <c r="O54" s="1741">
        <f>IF(O9=0,0,O$52/O9)</f>
        <v>19.359126849202703</v>
      </c>
      <c r="P54" s="163"/>
      <c r="AD54" s="17"/>
      <c r="AE54" s="17"/>
      <c r="AF54" s="17"/>
      <c r="AG54" s="17"/>
      <c r="AH54" s="238"/>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55.806320130407698</v>
      </c>
      <c r="N55" s="1740">
        <f t="shared" si="3"/>
        <v>52.592690608905123</v>
      </c>
      <c r="O55" s="1741">
        <f t="shared" si="3"/>
        <v>47.429860780546626</v>
      </c>
      <c r="P55" s="163"/>
      <c r="AD55" s="17"/>
      <c r="AE55" s="17"/>
      <c r="AF55" s="17"/>
      <c r="AG55" s="17"/>
      <c r="AH55" s="238"/>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0.35590765389290624</v>
      </c>
      <c r="N56" s="1659">
        <f t="shared" si="3"/>
        <v>0.33025237431023624</v>
      </c>
      <c r="O56" s="1660">
        <f t="shared" si="3"/>
        <v>0.29332010377579854</v>
      </c>
      <c r="P56" s="163"/>
      <c r="AD56" s="104"/>
      <c r="AE56" s="104"/>
      <c r="AF56" s="104"/>
      <c r="AG56" s="104"/>
      <c r="AH56" s="239"/>
      <c r="AI56" s="19"/>
      <c r="AJ56" s="1084"/>
      <c r="AK56" s="1085"/>
      <c r="AL56" s="1084"/>
      <c r="AM56" s="1084"/>
      <c r="AO56" s="9"/>
    </row>
    <row r="57" spans="1:68" ht="16.5" customHeight="1" x14ac:dyDescent="0.2">
      <c r="B57" s="3356"/>
      <c r="C57" s="1349">
        <f t="shared" ref="C57:C62" si="4">C56+1</f>
        <v>48</v>
      </c>
      <c r="D57" s="1474"/>
      <c r="E57" s="2165"/>
      <c r="F57" s="1477"/>
      <c r="G57" s="1477"/>
      <c r="H57" s="1477"/>
      <c r="I57" s="1473"/>
      <c r="J57" s="1473"/>
      <c r="K57" s="1473"/>
      <c r="L57" s="1370" t="s">
        <v>159</v>
      </c>
      <c r="M57" s="1658">
        <f t="shared" si="3"/>
        <v>0.21354459233574369</v>
      </c>
      <c r="N57" s="1659">
        <f t="shared" si="3"/>
        <v>0.19815142458614174</v>
      </c>
      <c r="O57" s="1660">
        <f t="shared" si="3"/>
        <v>0.17599206226547912</v>
      </c>
      <c r="P57" s="163"/>
      <c r="AD57" s="104"/>
      <c r="AE57" s="104"/>
      <c r="AF57" s="104"/>
      <c r="AG57" s="104"/>
      <c r="AH57" s="239"/>
      <c r="AI57" s="19"/>
      <c r="AJ57" s="1084"/>
      <c r="AK57" s="1085"/>
      <c r="AL57" s="1084"/>
      <c r="AM57" s="1084"/>
      <c r="AO57" s="9"/>
    </row>
    <row r="58" spans="1:68" ht="16.5" customHeight="1" x14ac:dyDescent="0.2">
      <c r="B58" s="3356"/>
      <c r="C58" s="1372">
        <f t="shared" si="4"/>
        <v>49</v>
      </c>
      <c r="D58" s="1478"/>
      <c r="E58" s="2164" t="s">
        <v>571</v>
      </c>
      <c r="F58" s="2148">
        <v>36</v>
      </c>
      <c r="G58" s="379" t="s">
        <v>579</v>
      </c>
      <c r="H58" s="1480"/>
      <c r="I58" s="1481"/>
      <c r="J58" s="1481"/>
      <c r="K58" s="1481"/>
      <c r="L58" s="1482" t="s">
        <v>583</v>
      </c>
      <c r="M58" s="1661">
        <f>M52/$M$12*10/$F$58</f>
        <v>9.886323719247396E-2</v>
      </c>
      <c r="N58" s="1662">
        <f>N52/$N$12*10/$F$58</f>
        <v>9.1736770641732301E-2</v>
      </c>
      <c r="O58" s="1663">
        <f>O52/$O$12*10/$F$58</f>
        <v>8.1477806604388484E-2</v>
      </c>
      <c r="P58" s="163"/>
      <c r="AD58" s="104"/>
      <c r="AE58" s="104"/>
      <c r="AF58" s="104"/>
      <c r="AG58" s="104"/>
      <c r="AH58" s="239"/>
      <c r="AI58" s="19"/>
      <c r="AJ58" s="1084"/>
      <c r="AK58" s="1085"/>
      <c r="AL58" s="1084"/>
      <c r="AM58" s="1084"/>
      <c r="AO58" s="9"/>
    </row>
    <row r="59" spans="1:68" s="291" customFormat="1" ht="21.25" customHeight="1" x14ac:dyDescent="0.2">
      <c r="B59" s="3356"/>
      <c r="C59" s="1349">
        <f t="shared" si="4"/>
        <v>50</v>
      </c>
      <c r="D59" s="1185" t="s">
        <v>580</v>
      </c>
      <c r="E59" s="1484"/>
      <c r="F59" s="1182"/>
      <c r="G59" s="1182"/>
      <c r="H59" s="1182"/>
      <c r="I59" s="1294"/>
      <c r="J59" s="1294"/>
      <c r="K59" s="1294"/>
      <c r="L59" s="1208" t="s">
        <v>154</v>
      </c>
      <c r="M59" s="1313">
        <f>M52-M39</f>
        <v>2054.4488386991729</v>
      </c>
      <c r="N59" s="1313">
        <f>N52-N39</f>
        <v>2315.8064572752141</v>
      </c>
      <c r="O59" s="1320">
        <f>O52-O39</f>
        <v>2767.435765927296</v>
      </c>
      <c r="P59" s="247"/>
      <c r="AD59" s="132"/>
      <c r="AE59" s="132"/>
      <c r="AF59" s="132"/>
      <c r="AG59" s="132"/>
      <c r="AH59" s="377"/>
      <c r="AI59" s="376"/>
      <c r="AJ59" s="1086"/>
      <c r="AK59" s="1086"/>
      <c r="AL59" s="1086"/>
      <c r="AM59" s="1086"/>
      <c r="AO59" s="373"/>
    </row>
    <row r="60" spans="1:68" s="291" customFormat="1" ht="16.5" customHeight="1" x14ac:dyDescent="0.2">
      <c r="B60" s="3356"/>
      <c r="C60" s="1349">
        <f t="shared" si="4"/>
        <v>51</v>
      </c>
      <c r="D60" s="1185"/>
      <c r="E60" s="2172" t="s">
        <v>593</v>
      </c>
      <c r="F60" s="1182"/>
      <c r="G60" s="1182"/>
      <c r="H60" s="1182"/>
      <c r="I60" s="1294"/>
      <c r="J60" s="1294"/>
      <c r="K60" s="1294"/>
      <c r="L60" s="1208" t="s">
        <v>464</v>
      </c>
      <c r="M60" s="2166">
        <f>M59/M7</f>
        <v>20.544488386991731</v>
      </c>
      <c r="N60" s="2166">
        <f>N59/N7</f>
        <v>19.298387143960117</v>
      </c>
      <c r="O60" s="2167">
        <f>O59/O7</f>
        <v>17.2964735370456</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4"/>
        <v>52</v>
      </c>
      <c r="D61" s="1475"/>
      <c r="E61" s="1471"/>
      <c r="F61" s="1476"/>
      <c r="G61" s="1476"/>
      <c r="H61" s="1476"/>
      <c r="I61" s="1965"/>
      <c r="J61" s="374"/>
      <c r="K61" s="374"/>
      <c r="L61" s="1214" t="s">
        <v>158</v>
      </c>
      <c r="M61" s="1656">
        <f>IF(M12=0,0,M$59/M12)</f>
        <v>0.33790276952289028</v>
      </c>
      <c r="N61" s="1580">
        <f>IF(N12=0,0,N$59/N12)</f>
        <v>0.31252448816129746</v>
      </c>
      <c r="O61" s="1657">
        <f>IF(O12=0,0,O$59/O12)</f>
        <v>0.27586082196244976</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4"/>
        <v>53</v>
      </c>
      <c r="D62" s="2169"/>
      <c r="E62" s="291"/>
      <c r="F62" s="291"/>
      <c r="G62" s="291"/>
      <c r="H62" s="375"/>
      <c r="I62" s="374"/>
      <c r="J62" s="374"/>
      <c r="K62" s="1473"/>
      <c r="L62" s="1214" t="s">
        <v>583</v>
      </c>
      <c r="M62" s="2170">
        <f>M59/$M$12*10/$F$58</f>
        <v>9.3861880423025068E-2</v>
      </c>
      <c r="N62" s="1580">
        <f>N59/$N$12*10/$F$58</f>
        <v>8.681235782258262E-2</v>
      </c>
      <c r="O62" s="2171">
        <f>O59/$O$12*10/$F$58</f>
        <v>7.662800610068049E-2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0.20274166171373412</v>
      </c>
      <c r="N63" s="1377">
        <f>IF(N13=0,0,N$59/N13)</f>
        <v>0.18751469289677847</v>
      </c>
      <c r="O63" s="1488">
        <f>IF(O13=0,0,O$59/O13)</f>
        <v>0.16551649317746986</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1155.8645547517547</v>
      </c>
      <c r="N65" s="1316">
        <f>SUM(N19:N23)+N31</f>
        <v>1319.8963283660989</v>
      </c>
      <c r="O65" s="1317">
        <f>SUM(O19:O23)+O31</f>
        <v>1647.6989470947867</v>
      </c>
      <c r="P65" s="163"/>
      <c r="AD65" s="233"/>
      <c r="AE65" s="233"/>
      <c r="AF65" s="233"/>
      <c r="AG65" s="233"/>
      <c r="AH65" s="233"/>
      <c r="AI65" s="19"/>
      <c r="AJ65" s="520"/>
      <c r="AK65" s="521"/>
      <c r="AL65" s="520"/>
      <c r="AM65" s="520"/>
      <c r="AO65" s="233"/>
    </row>
    <row r="66" spans="2:41" ht="16.5" customHeight="1" x14ac:dyDescent="0.2">
      <c r="B66" s="3356"/>
      <c r="C66" s="1372">
        <f>C65+1</f>
        <v>56</v>
      </c>
      <c r="D66" s="1485"/>
      <c r="E66" s="1486"/>
      <c r="F66" s="1485"/>
      <c r="G66" s="1485"/>
      <c r="H66" s="1485"/>
      <c r="I66" s="1485"/>
      <c r="J66" s="1485"/>
      <c r="K66" s="1485"/>
      <c r="L66" s="1482" t="s">
        <v>158</v>
      </c>
      <c r="M66" s="1487">
        <f>M65/M12</f>
        <v>0.1901093017683807</v>
      </c>
      <c r="N66" s="1377">
        <f>N65/N12</f>
        <v>0.17812366104805655</v>
      </c>
      <c r="O66" s="1488">
        <f>O65/O12</f>
        <v>0.16424431290817251</v>
      </c>
      <c r="P66" s="163"/>
      <c r="AD66" s="233"/>
      <c r="AE66" s="233"/>
      <c r="AF66" s="233"/>
      <c r="AG66" s="233"/>
      <c r="AH66" s="233"/>
      <c r="AI66" s="19"/>
      <c r="AJ66" s="520"/>
      <c r="AK66" s="521"/>
      <c r="AL66" s="520"/>
      <c r="AM66" s="520"/>
      <c r="AO66" s="233"/>
    </row>
    <row r="67" spans="2:41" ht="16.5" customHeight="1" x14ac:dyDescent="0.2">
      <c r="B67" s="3356"/>
      <c r="C67" s="1349">
        <f>C66+1</f>
        <v>57</v>
      </c>
      <c r="D67" s="1492" t="s">
        <v>595</v>
      </c>
      <c r="E67" s="1378"/>
      <c r="F67" s="1493"/>
      <c r="G67" s="1493"/>
      <c r="H67" s="1493"/>
      <c r="I67" s="1493"/>
      <c r="J67" s="1493"/>
      <c r="K67" s="1493"/>
      <c r="L67" s="1332" t="s">
        <v>154</v>
      </c>
      <c r="M67" s="1494">
        <f>N24+M25+M26+M40+M38</f>
        <v>1025.2747122424485</v>
      </c>
      <c r="N67" s="1494">
        <f>N24+N25+N26+N40+N38</f>
        <v>1062.1363789091151</v>
      </c>
      <c r="O67" s="1495">
        <f>O24+O25+O26+O40+O38</f>
        <v>1135.9630688325092</v>
      </c>
      <c r="P67" s="163"/>
      <c r="AD67" s="233"/>
      <c r="AE67" s="233"/>
      <c r="AF67" s="233"/>
      <c r="AG67" s="233"/>
      <c r="AH67" s="233"/>
      <c r="AI67" s="19"/>
      <c r="AJ67" s="520"/>
      <c r="AK67" s="521"/>
      <c r="AL67" s="520"/>
      <c r="AM67" s="520"/>
      <c r="AO67" s="233"/>
    </row>
    <row r="68" spans="2:41" ht="14.95" customHeight="1" thickBot="1" x14ac:dyDescent="0.25">
      <c r="B68" s="3357"/>
      <c r="C68" s="1350">
        <f>C67+1</f>
        <v>58</v>
      </c>
      <c r="D68" s="1489" t="s">
        <v>596</v>
      </c>
      <c r="E68" s="1490"/>
      <c r="F68" s="1490"/>
      <c r="G68" s="1490"/>
      <c r="H68" s="1490"/>
      <c r="I68" s="1490"/>
      <c r="J68" s="1490"/>
      <c r="K68" s="1490"/>
      <c r="L68" s="1491" t="s">
        <v>158</v>
      </c>
      <c r="M68" s="1614">
        <f>M67/M12</f>
        <v>0.16863070925040272</v>
      </c>
      <c r="N68" s="1612">
        <f>N67/N12</f>
        <v>0.14333824276776183</v>
      </c>
      <c r="O68" s="1631">
        <f>O67/O12</f>
        <v>0.11323395821695666</v>
      </c>
      <c r="P68" s="163"/>
      <c r="AD68" s="17"/>
      <c r="AE68" s="17"/>
      <c r="AF68" s="17"/>
      <c r="AG68" s="17"/>
      <c r="AH68" s="17"/>
      <c r="AI68" s="19"/>
      <c r="AJ68" s="1082"/>
      <c r="AK68" s="1083"/>
      <c r="AL68" s="1082"/>
      <c r="AM68" s="1082"/>
      <c r="AO68" s="238"/>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K55" sqref="K55"/>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E1:I1"/>
    <mergeCell ref="B52:B68"/>
    <mergeCell ref="D19:D23"/>
    <mergeCell ref="B46:B50"/>
    <mergeCell ref="B36:B44"/>
    <mergeCell ref="G3:O3"/>
    <mergeCell ref="B2:B4"/>
    <mergeCell ref="B19:B27"/>
    <mergeCell ref="B6:B13"/>
    <mergeCell ref="B15:B17"/>
    <mergeCell ref="B28:B34"/>
    <mergeCell ref="D28:K28"/>
  </mergeCells>
  <phoneticPr fontId="0" type="noConversion"/>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375" style="291" customWidth="1"/>
    <col min="12" max="12" width="9.625" style="291" customWidth="1"/>
    <col min="13" max="13" width="9.875" style="7" customWidth="1"/>
    <col min="14" max="14" width="9.625" style="7" customWidth="1"/>
    <col min="15" max="15" width="8" style="291" customWidth="1"/>
    <col min="16" max="16" width="10.87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1151</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1152</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c r="R4"/>
      <c r="S4"/>
      <c r="T4"/>
      <c r="U4"/>
      <c r="V4"/>
      <c r="W4"/>
      <c r="X4"/>
      <c r="Y4"/>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2936">
        <v>50</v>
      </c>
      <c r="L5" s="359"/>
      <c r="M5" s="2935">
        <v>70</v>
      </c>
      <c r="N5" s="1687"/>
      <c r="O5" s="2935">
        <v>90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5</v>
      </c>
      <c r="L6" s="581">
        <v>10</v>
      </c>
      <c r="M6" s="577">
        <v>5</v>
      </c>
      <c r="N6" s="581">
        <v>10</v>
      </c>
      <c r="O6" s="577">
        <v>5</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28</v>
      </c>
      <c r="L7" s="581">
        <v>35</v>
      </c>
      <c r="M7" s="577">
        <v>28</v>
      </c>
      <c r="N7" s="581">
        <v>35</v>
      </c>
      <c r="O7" s="577">
        <v>28</v>
      </c>
      <c r="P7" s="581">
        <v>35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6.5</v>
      </c>
      <c r="L8" s="582">
        <v>6.5</v>
      </c>
      <c r="M8" s="578">
        <v>6.5</v>
      </c>
      <c r="N8" s="582">
        <v>6.5</v>
      </c>
      <c r="O8" s="578">
        <v>6.5</v>
      </c>
      <c r="P8" s="582">
        <v>6.5</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47.5</v>
      </c>
      <c r="L9" s="596">
        <f>IF(K7=0,0,K9/K7*100)</f>
        <v>169.64285714285714</v>
      </c>
      <c r="M9" s="673">
        <f>M5*(100-M6)/100</f>
        <v>66.5</v>
      </c>
      <c r="N9" s="674">
        <f>IF(M7=0,0,M9/M7*100)</f>
        <v>237.5</v>
      </c>
      <c r="O9" s="595">
        <f>O5*(100-O6)/100</f>
        <v>85.5</v>
      </c>
      <c r="P9" s="596">
        <f>IF(O7=0,0,O9/O7*100)</f>
        <v>305.35714285714283</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26.098901098901099</v>
      </c>
      <c r="M10" s="236"/>
      <c r="N10" s="675">
        <f>IF(M8=0,0,1/M8*N9)</f>
        <v>36.53846153846154</v>
      </c>
      <c r="O10" s="164"/>
      <c r="P10" s="597">
        <f>IF(O8=0,0,1/O8*P9)</f>
        <v>46.978021978021978</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42.75</v>
      </c>
      <c r="L11" s="584">
        <f>IF(L7=0,0,K11/L7*100)</f>
        <v>122.14285714285715</v>
      </c>
      <c r="M11" s="676">
        <f>M9*(100-N6)/100</f>
        <v>59.85</v>
      </c>
      <c r="N11" s="677">
        <f>IF(N7=0,0,M11/N7*100)</f>
        <v>171</v>
      </c>
      <c r="O11" s="583">
        <f>O9*(100-P6)/100</f>
        <v>76.95</v>
      </c>
      <c r="P11" s="584">
        <f>IF(P7=0,0,O11/P7*100)</f>
        <v>219.85714285714289</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18.791208791208796</v>
      </c>
      <c r="M12" s="666"/>
      <c r="N12" s="678">
        <f>IF(N8=0,0,1/N8*N11)</f>
        <v>26.30769230769231</v>
      </c>
      <c r="O12" s="414"/>
      <c r="P12" s="422">
        <f>IF(P8=0,0,1/P8*P11)</f>
        <v>33.824175824175832</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5.6</v>
      </c>
      <c r="L13" s="360"/>
      <c r="M13" s="419">
        <v>5.6</v>
      </c>
      <c r="N13" s="649"/>
      <c r="O13" s="419">
        <v>5.6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9.3333333333333339</v>
      </c>
      <c r="L14" s="360"/>
      <c r="M14" s="679">
        <f>M13/$G14</f>
        <v>9.3333333333333339</v>
      </c>
      <c r="N14" s="649"/>
      <c r="O14" s="426">
        <f>O13/$G14</f>
        <v>9.3333333333333339</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2394</v>
      </c>
      <c r="L15" s="3399"/>
      <c r="M15" s="680">
        <f>M$11*M13*10</f>
        <v>3351.5999999999995</v>
      </c>
      <c r="N15" s="649"/>
      <c r="O15" s="3398">
        <f>O$11*O13*10</f>
        <v>4309.2</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3990</v>
      </c>
      <c r="L16" s="3401"/>
      <c r="M16" s="3402">
        <f>M$11*M14*10</f>
        <v>5586</v>
      </c>
      <c r="N16" s="3403"/>
      <c r="O16" s="3400">
        <f>O$11*O14*10</f>
        <v>7182</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202.87200000000001</v>
      </c>
      <c r="M27" s="669"/>
      <c r="N27" s="651">
        <f>SUM(N29:N30)</f>
        <v>202.87200000000001</v>
      </c>
      <c r="O27" s="272"/>
      <c r="P27" s="267">
        <f>SUM(P29:P30)</f>
        <v>202.87200000000001</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2964" t="s">
        <v>1163</v>
      </c>
      <c r="H29" s="333">
        <v>0.8</v>
      </c>
      <c r="I29" s="586">
        <f>H29*($H$27+100)/100</f>
        <v>0.85600000000000009</v>
      </c>
      <c r="J29" s="90"/>
      <c r="K29" s="382">
        <v>90</v>
      </c>
      <c r="L29" s="279">
        <f>$I29*K29</f>
        <v>77.040000000000006</v>
      </c>
      <c r="M29" s="382">
        <v>90</v>
      </c>
      <c r="N29" s="656">
        <f>$I29*M29</f>
        <v>77.040000000000006</v>
      </c>
      <c r="O29" s="382">
        <v>90</v>
      </c>
      <c r="P29" s="279">
        <f>$I29*O29</f>
        <v>77.040000000000006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2965" t="s">
        <v>1164</v>
      </c>
      <c r="H30" s="334">
        <v>0.98</v>
      </c>
      <c r="I30" s="587">
        <f>H30*($H$27+100)/100</f>
        <v>1.0486</v>
      </c>
      <c r="J30" s="91"/>
      <c r="K30" s="383">
        <v>120</v>
      </c>
      <c r="L30" s="275">
        <f>$I30*K30</f>
        <v>125.83199999999999</v>
      </c>
      <c r="M30" s="383">
        <v>120</v>
      </c>
      <c r="N30" s="657">
        <f>$I30*M30</f>
        <v>125.83199999999999</v>
      </c>
      <c r="O30" s="383">
        <v>120</v>
      </c>
      <c r="P30" s="275">
        <f>$I30*O30</f>
        <v>125.83199999999999</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195.31529500000005</v>
      </c>
      <c r="M31" s="683"/>
      <c r="N31" s="651">
        <f>SUM(N33:N36)-N17</f>
        <v>273.44141300000007</v>
      </c>
      <c r="O31" s="276"/>
      <c r="P31" s="267">
        <f>SUM(P33:P36)-P17</f>
        <v>351.56753099999997</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1.86</v>
      </c>
      <c r="H33" s="2989">
        <v>-1.7</v>
      </c>
      <c r="I33"/>
      <c r="J33" s="163"/>
      <c r="K33" s="278">
        <f>$G$33*K$9+($H$33*K$5)</f>
        <v>3.3500000000000085</v>
      </c>
      <c r="L33" s="279">
        <f>K33*$E33</f>
        <v>11.95950000000003</v>
      </c>
      <c r="M33" s="684">
        <f>$G$33*M$9+($H$33*M$5)</f>
        <v>4.6900000000000119</v>
      </c>
      <c r="N33" s="656">
        <f>M33*$E33</f>
        <v>16.74330000000004</v>
      </c>
      <c r="O33" s="278">
        <f>$G$33*O$9+($H$33*O$5)</f>
        <v>6.0300000000000011</v>
      </c>
      <c r="P33" s="279">
        <f>O33*$E33</f>
        <v>21.527100000000004</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0.56999999999999995</v>
      </c>
      <c r="H34" s="327"/>
      <c r="I34"/>
      <c r="J34" s="163"/>
      <c r="K34" s="278">
        <f>G34*$K$9+H34</f>
        <v>27.074999999999999</v>
      </c>
      <c r="L34" s="279">
        <f>K34*$E34</f>
        <v>70.237965000000003</v>
      </c>
      <c r="M34" s="684">
        <f>G34*$M$9+H34</f>
        <v>37.904999999999994</v>
      </c>
      <c r="N34" s="656">
        <f>M34*$E34</f>
        <v>98.333151000000001</v>
      </c>
      <c r="O34" s="278">
        <f>G34*$O$9+H34</f>
        <v>48.734999999999992</v>
      </c>
      <c r="P34" s="279">
        <f>O34*$E34</f>
        <v>126.428337</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2.14</v>
      </c>
      <c r="H35" s="327"/>
      <c r="I35"/>
      <c r="J35" s="163"/>
      <c r="K35" s="278">
        <f>G35*$K$9+H35</f>
        <v>101.65</v>
      </c>
      <c r="L35" s="279">
        <f>K35*$E35</f>
        <v>94.351530000000011</v>
      </c>
      <c r="M35" s="684">
        <f>G35*$M$9+H35</f>
        <v>142.31</v>
      </c>
      <c r="N35" s="656">
        <f>M35*$E35</f>
        <v>132.092142</v>
      </c>
      <c r="O35" s="278">
        <f>G35*$O$9+H35</f>
        <v>182.97</v>
      </c>
      <c r="P35" s="279">
        <f>O35*$E35</f>
        <v>169.83275399999999</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0.2</v>
      </c>
      <c r="H36" s="328"/>
      <c r="I36" s="36"/>
      <c r="J36" s="36"/>
      <c r="K36" s="280">
        <f>G36*$K$9+H36</f>
        <v>9.5</v>
      </c>
      <c r="L36" s="275">
        <f>K36*$E36</f>
        <v>18.766299999999998</v>
      </c>
      <c r="M36" s="685">
        <f>G36*$M$9+H36</f>
        <v>13.3</v>
      </c>
      <c r="N36" s="657">
        <f>M36*$E36</f>
        <v>26.272819999999999</v>
      </c>
      <c r="O36" s="280">
        <f>G36*$O$9+H36</f>
        <v>17.100000000000001</v>
      </c>
      <c r="P36" s="275">
        <f>O36*$E36</f>
        <v>33.779339999999998</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132.73878383574998</v>
      </c>
      <c r="M42" s="687"/>
      <c r="N42" s="651">
        <f>SUM(N45:N55)</f>
        <v>144.45492631964999</v>
      </c>
      <c r="O42" s="367"/>
      <c r="P42" s="267">
        <f>SUM(P45:P55)</f>
        <v>156.17106880354999</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4</v>
      </c>
      <c r="C47" s="103"/>
      <c r="D47" s="132"/>
      <c r="E47" s="8"/>
      <c r="F47" s="8"/>
      <c r="G47" s="607"/>
      <c r="H47" s="602">
        <f>IF($B47=0,0,VLOOKUP($B47,Arbeitsgänge!$B$26:$T$79,6))</f>
        <v>83</v>
      </c>
      <c r="I47" s="603">
        <f>IF($B47=0,0,VLOOKUP($B47,Arbeitsgänge!$B$26:$T$79,11))</f>
        <v>0.56999999999999995</v>
      </c>
      <c r="J47" s="401">
        <f>IF($B47=0,0,VLOOKUP($B47,Arbeitsgänge!$B$26:$T$79,12))</f>
        <v>14.933111252</v>
      </c>
      <c r="K47" s="316">
        <v>1</v>
      </c>
      <c r="L47" s="279">
        <f t="shared" si="0"/>
        <v>14.933111252</v>
      </c>
      <c r="M47" s="316">
        <v>1</v>
      </c>
      <c r="N47" s="656">
        <f t="shared" si="0"/>
        <v>14.933111252</v>
      </c>
      <c r="O47" s="316">
        <v>1</v>
      </c>
      <c r="P47" s="279">
        <f t="shared" si="0"/>
        <v>14.933111252</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8</v>
      </c>
      <c r="C48" s="103"/>
      <c r="D48" s="132"/>
      <c r="E48" s="8"/>
      <c r="F48" s="8"/>
      <c r="G48" s="607"/>
      <c r="H48" s="602">
        <f>IF($B48=0,0,VLOOKUP($B48,Arbeitsgänge!$B$26:$T$79,6))</f>
        <v>83</v>
      </c>
      <c r="I48" s="603">
        <f>IF($B48=0,0,VLOOKUP($B48,Arbeitsgänge!$B$26:$T$79,11))</f>
        <v>1.03</v>
      </c>
      <c r="J48" s="401">
        <f>IF($B48=0,0,VLOOKUP($B48,Arbeitsgänge!$B$26:$T$79,12))</f>
        <v>34.405680761999996</v>
      </c>
      <c r="K48" s="316">
        <v>1</v>
      </c>
      <c r="L48" s="279">
        <f t="shared" si="0"/>
        <v>34.405680761999996</v>
      </c>
      <c r="M48" s="316">
        <v>1</v>
      </c>
      <c r="N48" s="656">
        <f t="shared" si="0"/>
        <v>34.405680761999996</v>
      </c>
      <c r="O48" s="316">
        <v>1</v>
      </c>
      <c r="P48" s="279">
        <f t="shared" si="0"/>
        <v>34.405680761999996</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14</v>
      </c>
      <c r="C50" s="103"/>
      <c r="D50" s="132"/>
      <c r="E50" s="8"/>
      <c r="F50" s="8"/>
      <c r="G50" s="607"/>
      <c r="H50" s="602">
        <f>IF($B50=0,0,VLOOKUP($B50,Arbeitsgänge!$B$26:$T$79,6))</f>
        <v>83</v>
      </c>
      <c r="I50" s="603">
        <f>IF($B50=0,0,VLOOKUP($B50,Arbeitsgänge!$B$26:$T$79,11))</f>
        <v>0.27</v>
      </c>
      <c r="J50" s="401">
        <f>IF($B50=0,0,VLOOKUP($B50,Arbeitsgänge!$B$26:$T$79,12))</f>
        <v>7.198842172</v>
      </c>
      <c r="K50" s="316">
        <v>1</v>
      </c>
      <c r="L50" s="279">
        <f t="shared" si="0"/>
        <v>7.198842172</v>
      </c>
      <c r="M50" s="316">
        <v>1</v>
      </c>
      <c r="N50" s="656">
        <f t="shared" si="0"/>
        <v>7.198842172</v>
      </c>
      <c r="O50" s="316">
        <v>1</v>
      </c>
      <c r="P50" s="279">
        <f t="shared" si="0"/>
        <v>7.198842172</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22</v>
      </c>
      <c r="C51" s="103"/>
      <c r="D51" s="132"/>
      <c r="E51" s="8"/>
      <c r="F51" s="8"/>
      <c r="G51" s="607"/>
      <c r="H51" s="602">
        <f>IF($B51=0,0,VLOOKUP($B51,Arbeitsgänge!$B$26:$T$79,6))</f>
        <v>0</v>
      </c>
      <c r="I51" s="603">
        <f>IF($B51=0,0,VLOOKUP($B51,Arbeitsgänge!$B$26:$T$79,11))</f>
        <v>10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16</v>
      </c>
      <c r="C52" s="103"/>
      <c r="D52" s="132"/>
      <c r="E52" s="8"/>
      <c r="F52" s="8"/>
      <c r="G52" s="607"/>
      <c r="H52" s="602">
        <f>IF($B52=0,0,VLOOKUP($B52,Arbeitsgänge!$B$26:$T$79,6))</f>
        <v>45</v>
      </c>
      <c r="I52" s="603">
        <f>IF($B52=0,0,VLOOKUP($B52,Arbeitsgänge!$B$26:$T$79,11))</f>
        <v>0.15</v>
      </c>
      <c r="J52" s="401">
        <f>IF($B52=0,0,VLOOKUP($B52,Arbeitsgänge!$B$26:$T$79,12))</f>
        <v>1.7215019219999996</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44</v>
      </c>
      <c r="C53" s="103"/>
      <c r="D53" s="132"/>
      <c r="E53" s="8"/>
      <c r="F53" s="8"/>
      <c r="G53" s="607"/>
      <c r="H53" s="602">
        <f>IF($B53=0,0,VLOOKUP($B53,Arbeitsgänge!$B$26:$T$79,6))</f>
        <v>83</v>
      </c>
      <c r="I53" s="603">
        <f>IF($B53=0,0,VLOOKUP($B53,Arbeitsgänge!$B$26:$T$79,11))</f>
        <v>1.89</v>
      </c>
      <c r="J53" s="401">
        <f>IF($B53=0,0,VLOOKUP($B53,Arbeitsgänge!$B$26:$T$79,12))</f>
        <v>35.677855642799997</v>
      </c>
      <c r="K53" s="316">
        <f>L9/300</f>
        <v>0.56547619047619047</v>
      </c>
      <c r="L53" s="279">
        <f t="shared" si="0"/>
        <v>20.174977893249999</v>
      </c>
      <c r="M53" s="316">
        <f>N9/300</f>
        <v>0.79166666666666663</v>
      </c>
      <c r="N53" s="656">
        <f t="shared" si="0"/>
        <v>28.244969050549997</v>
      </c>
      <c r="O53" s="316">
        <f>P9/300</f>
        <v>1.0178571428571428</v>
      </c>
      <c r="P53" s="279">
        <f t="shared" si="0"/>
        <v>36.314960207849992</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0.56547619047619047</v>
      </c>
      <c r="L54" s="279">
        <f t="shared" si="0"/>
        <v>9.1153783164999993</v>
      </c>
      <c r="M54" s="318">
        <f>N9/300</f>
        <v>0.79166666666666663</v>
      </c>
      <c r="N54" s="656">
        <f t="shared" si="0"/>
        <v>12.761529643099998</v>
      </c>
      <c r="O54" s="318">
        <f>P9/300</f>
        <v>1.0178571428571428</v>
      </c>
      <c r="P54" s="279">
        <f t="shared" si="0"/>
        <v>16.407680969699996</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34</v>
      </c>
      <c r="C55" s="103"/>
      <c r="D55" s="133"/>
      <c r="E55" s="84"/>
      <c r="F55" s="84"/>
      <c r="G55" s="608"/>
      <c r="H55" s="604">
        <f>IF($B55=0,0,VLOOKUP($B55,Arbeitsgänge!$B$26:$T$79,6))</f>
        <v>0</v>
      </c>
      <c r="I55" s="604">
        <f>IF($B55=0,0,VLOOKUP($B55,Arbeitsgänge!$B$26:$T$79,11))</f>
        <v>0</v>
      </c>
      <c r="J55" s="1430">
        <f>IF($B55=0,0,VLOOKUP($B55,Arbeitsgänge!$B$26:$T$79,12))</f>
        <v>0</v>
      </c>
      <c r="K55" s="317">
        <v>1</v>
      </c>
      <c r="L55" s="313">
        <f t="shared" si="0"/>
        <v>0</v>
      </c>
      <c r="M55" s="319">
        <v>1</v>
      </c>
      <c r="N55" s="661">
        <f t="shared" si="0"/>
        <v>0</v>
      </c>
      <c r="O55" s="319">
        <v>1</v>
      </c>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4.8902976190476188</v>
      </c>
      <c r="L56" s="283"/>
      <c r="M56" s="662">
        <f>SUMPRODUCT(M45:M55,I45:I55)</f>
        <v>5.5304166666666656</v>
      </c>
      <c r="N56" s="663"/>
      <c r="O56" s="282">
        <f>SUMPRODUCT(O45:O55,I45:I55)</f>
        <v>6.1705357142857133</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8.313505952380952</v>
      </c>
      <c r="L57" s="285"/>
      <c r="M57" s="664">
        <f>IF($G$57%*M56&gt;=10,10+M56,M56*(1+$G$57%))</f>
        <v>9.4017083333333318</v>
      </c>
      <c r="N57" s="665"/>
      <c r="O57" s="284">
        <f>IF($G$57%*O56&gt;=10,10+O56,O56*(1+$G$57%))</f>
        <v>10.489910714285712</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166.005</v>
      </c>
      <c r="M58" s="690"/>
      <c r="N58" s="651">
        <f>SUM(N60:N62)</f>
        <v>184.45</v>
      </c>
      <c r="O58" s="286"/>
      <c r="P58" s="267">
        <f>SUM(P60:P62)</f>
        <v>202.89500000000001</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t="s">
        <v>456</v>
      </c>
      <c r="E60" s="58"/>
      <c r="F60" s="58"/>
      <c r="G60" s="58"/>
      <c r="H60" s="2036">
        <v>155</v>
      </c>
      <c r="I60" s="2037">
        <f>H60*($H$58+100)/100</f>
        <v>184.45</v>
      </c>
      <c r="J60" s="341"/>
      <c r="K60" s="2038">
        <v>0.9</v>
      </c>
      <c r="L60" s="2039">
        <f>K60*I60</f>
        <v>166.005</v>
      </c>
      <c r="M60" s="2038">
        <v>1</v>
      </c>
      <c r="N60" s="2040">
        <f>M60*I60</f>
        <v>184.45</v>
      </c>
      <c r="O60" s="2038">
        <v>1.1000000000000001</v>
      </c>
      <c r="P60" s="2039">
        <f>O60*I60</f>
        <v>202.89500000000001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0.28000000000000003</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8.1874800000000008</v>
      </c>
      <c r="M65" s="1073"/>
      <c r="N65" s="651">
        <f>M66*$H66/100</f>
        <v>11.462471999999998</v>
      </c>
      <c r="O65" s="289"/>
      <c r="P65" s="267">
        <f>O66*$H66/100</f>
        <v>14.737463999999999</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v>1.71</v>
      </c>
      <c r="I66" s="74"/>
      <c r="J66" s="303" t="s">
        <v>154</v>
      </c>
      <c r="K66" s="144">
        <f>K15*0.2</f>
        <v>478.8</v>
      </c>
      <c r="L66" s="290"/>
      <c r="M66" s="144">
        <f>M15*0.2</f>
        <v>670.31999999999994</v>
      </c>
      <c r="N66" s="654"/>
      <c r="O66" s="144">
        <f>O15*0.2</f>
        <v>861.84</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51.17</v>
      </c>
      <c r="M67" s="694"/>
      <c r="N67" s="651">
        <f>SUM(N68:N69)</f>
        <v>51.17</v>
      </c>
      <c r="O67" s="272"/>
      <c r="P67" s="267">
        <f>SUM(P68:P69)</f>
        <v>51.17</v>
      </c>
      <c r="Q67" s="958"/>
    </row>
    <row r="68" spans="1:79" s="50" customFormat="1" ht="14.95" customHeight="1" x14ac:dyDescent="0.2">
      <c r="A68" s="2813"/>
      <c r="B68" s="2814"/>
      <c r="C68" s="103"/>
      <c r="D68" s="2815" t="s">
        <v>1107</v>
      </c>
      <c r="E68" s="2809"/>
      <c r="F68" s="2809"/>
      <c r="G68" s="2809"/>
      <c r="H68" s="1102"/>
      <c r="I68" s="2036">
        <v>51.17</v>
      </c>
      <c r="J68" s="141"/>
      <c r="K68" s="969"/>
      <c r="L68" s="2253">
        <f>$I$68</f>
        <v>51.17</v>
      </c>
      <c r="M68" s="969"/>
      <c r="N68" s="2254">
        <f>$I$68</f>
        <v>51.17</v>
      </c>
      <c r="O68" s="969"/>
      <c r="P68" s="2253">
        <f>$I$68</f>
        <v>51.17</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K53" sqref="K53"/>
      <pageMargins left="0.51181102362204722" right="0.47244094488188981" top="0.55118110236220474" bottom="0.9055118110236221" header="0.51181102362204722" footer="0.31496062992125984"/>
      <printOptions horizontalCentered="1" verticalCentered="1"/>
      <pageSetup paperSize="9" scale="69"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8">
    <mergeCell ref="K16:L16"/>
    <mergeCell ref="M16:N16"/>
    <mergeCell ref="O16:P16"/>
    <mergeCell ref="B1:F1"/>
    <mergeCell ref="M2:P2"/>
    <mergeCell ref="H3:P3"/>
    <mergeCell ref="K15:L15"/>
    <mergeCell ref="O15:P15"/>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273281"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273282"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273283"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273284"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273285"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273286"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273287"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273288"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273289"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273290"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273291"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273292"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273293"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273294"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273295"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273296"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273297"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273298"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273299"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273300"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273301"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273302"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273303"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273304"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273305"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273306"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273307"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273308"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273309"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273310"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273311"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273312"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'GPS GersteErbse(a)'!M2</f>
        <v>Ganzpflanzensilage Gerste-Erbse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'GPS GersteErbse(a)'!H3</f>
        <v xml:space="preserve">Ernte im Lohn, Silage im Flachsilo, kein Umbruch da nachfolgende Frucht (z.B.Kleegras) als Untersaat etabliert wird </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934"/>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932"/>
      <c r="J6" s="2932"/>
      <c r="K6" s="2932"/>
      <c r="L6" s="425" t="s">
        <v>72</v>
      </c>
      <c r="M6" s="258">
        <f>'GPS GersteErbse(a)'!K5</f>
        <v>50</v>
      </c>
      <c r="N6" s="1290">
        <f>'GPS GersteErbse(a)'!M5</f>
        <v>70</v>
      </c>
      <c r="O6" s="1298">
        <f>'GPS GersteErbse(a)'!O5</f>
        <v>90</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932"/>
      <c r="J7" s="2932"/>
      <c r="K7" s="2932"/>
      <c r="L7" s="425" t="s">
        <v>72</v>
      </c>
      <c r="M7" s="391">
        <f>'GPS GersteErbse(a)'!K9</f>
        <v>47.5</v>
      </c>
      <c r="N7" s="1291">
        <f>'GPS GersteErbse(a)'!M9</f>
        <v>66.5</v>
      </c>
      <c r="O7" s="1299">
        <f>'GPS GersteErbse(a)'!O9</f>
        <v>85.5</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'GPS GersteErbse(a)'!L9</f>
        <v>169.64285714285714</v>
      </c>
      <c r="N8" s="1292">
        <f>'GPS GersteErbse(a)'!N9</f>
        <v>237.5</v>
      </c>
      <c r="O8" s="1201">
        <f>'GPS GersteErbse(a)'!P9</f>
        <v>305.35714285714283</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932"/>
      <c r="J9" s="2932"/>
      <c r="K9" s="2932"/>
      <c r="L9" s="425" t="s">
        <v>72</v>
      </c>
      <c r="M9" s="967">
        <f>'GPS GersteErbse(a)'!K11</f>
        <v>42.75</v>
      </c>
      <c r="N9" s="1181">
        <f>'GPS GersteErbse(a)'!M11</f>
        <v>59.85</v>
      </c>
      <c r="O9" s="1302">
        <f>'GPS GersteErbse(a)'!O11</f>
        <v>76.95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932"/>
      <c r="J10" s="2932"/>
      <c r="K10" s="2932"/>
      <c r="L10" s="425" t="s">
        <v>376</v>
      </c>
      <c r="M10" s="1469">
        <f>'GPS GersteErbse(a)'!L11</f>
        <v>122.14285714285715</v>
      </c>
      <c r="N10" s="1200">
        <f>'GPS GersteErbse(a)'!N11</f>
        <v>171</v>
      </c>
      <c r="O10" s="1470">
        <f>'GPS GersteErbse(a)'!P11</f>
        <v>219.85714285714289</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'GPS GersteErbse(a)'!L12</f>
        <v>18.791208791208796</v>
      </c>
      <c r="N11" s="1358">
        <f>'GPS GersteErbse(a)'!N12</f>
        <v>26.30769230769231</v>
      </c>
      <c r="O11" s="1359">
        <f>'GPS GersteErbse(a)'!P12</f>
        <v>33.824175824175832</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'GPS GersteErbse(a)'!K15</f>
        <v>2394</v>
      </c>
      <c r="N12" s="1293">
        <f>'GPS GersteErbse(a)'!M15</f>
        <v>3351.5999999999995</v>
      </c>
      <c r="O12" s="1300">
        <f>'GPS GersteErbse(a)'!O15</f>
        <v>4309.2</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'GPS GersteErbse(a)'!K16</f>
        <v>3990</v>
      </c>
      <c r="N13" s="1533">
        <f>'GPS GersteErbse(a)'!M16</f>
        <v>5586</v>
      </c>
      <c r="O13" s="1534">
        <f>'GPS GersteErbse(a)'!O16</f>
        <v>7182</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93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'GPS GersteErbse(a)'!L24</f>
        <v>270</v>
      </c>
      <c r="N15" s="2135">
        <f>'GPS GersteErbse(a)'!N24</f>
        <v>270</v>
      </c>
      <c r="O15" s="2138">
        <f>'GPS GersteErbse(a)'!P24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'GPS GersteErbse(a)'!L18</f>
        <v>230</v>
      </c>
      <c r="N16" s="1291">
        <f>'GPS GersteErbse(a)'!N18</f>
        <v>230</v>
      </c>
      <c r="O16" s="2140">
        <f>'GPS GersteErbse(a)'!P18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'GPS GersteErbse(a)'!L27</f>
        <v>202.87200000000001</v>
      </c>
      <c r="N19" s="1528">
        <f>'GPS GersteErbse(a)'!N27</f>
        <v>202.87200000000001</v>
      </c>
      <c r="O19" s="1529">
        <f>'GPS GersteErbse(a)'!P27</f>
        <v>202.87200000000001</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'GPS GersteErbse(a)'!L31</f>
        <v>195.31529500000005</v>
      </c>
      <c r="N20" s="1186">
        <f>'GPS GersteErbse(a)'!N31</f>
        <v>273.44141300000007</v>
      </c>
      <c r="O20" s="1192">
        <f>'GPS GersteErbse(a)'!P31</f>
        <v>351.56753099999997</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'GPS GersteErbse(a)'!L37</f>
        <v>0</v>
      </c>
      <c r="N21" s="1186">
        <f>'GPS GersteErbse(a)'!N37</f>
        <v>0</v>
      </c>
      <c r="O21" s="1192">
        <f>'GPS GersteErbse(a)'!P37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'GPS GersteErbse(a)'!L65</f>
        <v>8.1874800000000008</v>
      </c>
      <c r="N22" s="1186">
        <f>'GPS GersteErbse(a)'!N65</f>
        <v>11.462471999999998</v>
      </c>
      <c r="O22" s="1192">
        <f>'GPS GersteErbse(a)'!P65</f>
        <v>14.737463999999999</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'GPS GersteErbse(a)'!L67</f>
        <v>51.17</v>
      </c>
      <c r="N23" s="1186">
        <f>'GPS GersteErbse(a)'!N67</f>
        <v>51.17</v>
      </c>
      <c r="O23" s="1192">
        <f>'GPS GersteErbse(a)'!P67</f>
        <v>51.17</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'GPS GersteErbse(a)'!L42</f>
        <v>132.73878383574998</v>
      </c>
      <c r="N24" s="1186">
        <f>'GPS GersteErbse(a)'!N42</f>
        <v>144.45492631964999</v>
      </c>
      <c r="O24" s="1192">
        <f>'GPS GersteErbse(a)'!P42</f>
        <v>156.17106880354999</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'GPS GersteErbse(a)'!L58</f>
        <v>166.005</v>
      </c>
      <c r="N25" s="1186">
        <f>'GPS GersteErbse(a)'!N58</f>
        <v>184.45</v>
      </c>
      <c r="O25" s="1192">
        <f>'GPS GersteErbse(a)'!P58</f>
        <v>202.89500000000001</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'GPS GersteErbse(a)'!L63</f>
        <v>0</v>
      </c>
      <c r="N26" s="1438">
        <f>'GPS GersteErbse(a)'!N63</f>
        <v>0</v>
      </c>
      <c r="O26" s="1439">
        <f>'GPS GersteErbse(a)'!P63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756.28855883575</v>
      </c>
      <c r="N27" s="1319">
        <f>SUM(N19:N26)</f>
        <v>867.85081131965012</v>
      </c>
      <c r="O27" s="1511">
        <f>SUM(O19:O26)</f>
        <v>979.4130638035499</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-756.28855883575</v>
      </c>
      <c r="N28" s="1321">
        <f>-N27</f>
        <v>-867.85081131965012</v>
      </c>
      <c r="O28" s="1321">
        <f>-O27</f>
        <v>-979.4130638035499</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-0.31591000786789891</v>
      </c>
      <c r="N29" s="1377">
        <f>IF(N$8=0,0,N$28/N$12)</f>
        <v>-0.25893627262192692</v>
      </c>
      <c r="O29" s="1377">
        <f>IF(O$8=0,0,O$28/O$12)</f>
        <v>-0.22728419748527567</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500</v>
      </c>
      <c r="N30" s="1297">
        <f>N17</f>
        <v>500</v>
      </c>
      <c r="O30" s="1301">
        <f>O17</f>
        <v>500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M27*'GPS GersteErbse(a)'!$L$70*'GPS GersteErbse(a)'!$P$70/12/100</f>
        <v>4.7268034927234375</v>
      </c>
      <c r="N31" s="1438">
        <f>N27*'GPS GersteErbse(a)'!$L$70*'GPS GersteErbse(a)'!$P$70/12/100</f>
        <v>5.4240675707478125</v>
      </c>
      <c r="O31" s="1439">
        <f>O27*'GPS GersteErbse(a)'!$L$70*'GPS GersteErbse(a)'!$P$70/12/100</f>
        <v>6.1213316487721876</v>
      </c>
      <c r="P31" s="163"/>
      <c r="T31" s="7" t="s">
        <v>581</v>
      </c>
      <c r="U31" s="2121"/>
      <c r="V31" s="2121"/>
      <c r="W31" s="2121"/>
      <c r="X31" s="2121"/>
      <c r="Y31" s="2121"/>
      <c r="Z31" s="2116">
        <f>'GPS GersteErbse(a)'!Q18+'GPS GersteErbse(a)'!Q24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-261.01536232847343</v>
      </c>
      <c r="N32" s="1313">
        <f>N28+N30-N31</f>
        <v>-373.27487889039793</v>
      </c>
      <c r="O32" s="1320">
        <f>O28+O30-O31</f>
        <v>-485.53439545232209</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-0.10902897340370653</v>
      </c>
      <c r="N33" s="1180">
        <f>IF(N12=0,0,N32/N12)</f>
        <v>-0.11137214431626626</v>
      </c>
      <c r="O33" s="1503">
        <f>IF(O12=0,0,O32/O12)</f>
        <v>-0.11267390593435489</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-6.5417384042223914E-2</v>
      </c>
      <c r="N34" s="1194">
        <f>IF(N13=0,0,N32/N13)</f>
        <v>-6.6823286589759751E-2</v>
      </c>
      <c r="O34" s="1508">
        <f>IF(O13=0,0,O32/O13)</f>
        <v>-6.7604343560612928E-2</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'GPS GersteErbse(a)'!K57</f>
        <v>8.313505952380952</v>
      </c>
      <c r="N36" s="1771">
        <f>'GPS GersteErbse(a)'!M57</f>
        <v>9.4017083333333318</v>
      </c>
      <c r="O36" s="1773">
        <f>'GPS GersteErbse(a)'!O57</f>
        <v>10.489910714285712</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IF(M37=0,0,'Lager-Fläche'!$L$13)</f>
        <v>2.5287500000000001</v>
      </c>
      <c r="J37" s="218" t="s">
        <v>32</v>
      </c>
      <c r="K37" s="218"/>
      <c r="L37" s="1531" t="s">
        <v>378</v>
      </c>
      <c r="M37" s="1802">
        <f>'GPS GersteErbse(a)'!L10</f>
        <v>26.098901098901099</v>
      </c>
      <c r="N37" s="1803">
        <f>'GPS GersteErbse(a)'!N10</f>
        <v>36.53846153846154</v>
      </c>
      <c r="O37" s="1804">
        <f>'GPS GersteErbse(a)'!P10</f>
        <v>46.978021978021978</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137.17284821428572</v>
      </c>
      <c r="N38" s="1186">
        <f>$J$38*N36</f>
        <v>155.12818749999997</v>
      </c>
      <c r="O38" s="1192">
        <f>$J$38*O36</f>
        <v>173.08352678571424</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65.99759615384616</v>
      </c>
      <c r="N39" s="1805">
        <f>N37*$I$37</f>
        <v>92.396634615384627</v>
      </c>
      <c r="O39" s="1801">
        <f>O37*$I$37</f>
        <v>118.79567307692308</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880.1387347014653</v>
      </c>
      <c r="N44" s="1449">
        <f>SUM(N38:N43)</f>
        <v>974.49311244871797</v>
      </c>
      <c r="O44" s="1452">
        <f>SUM(O38:O43)</f>
        <v>1068.8474901959707</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1641.1540970299388</v>
      </c>
      <c r="N47" s="1497">
        <f>N27+N31+N44</f>
        <v>1847.767991339116</v>
      </c>
      <c r="O47" s="1536">
        <f>O27+O31+O44</f>
        <v>2054.3818856482931</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-1641.1540970299388</v>
      </c>
      <c r="N48" s="1667">
        <f>N46-N47</f>
        <v>-1847.767991339116</v>
      </c>
      <c r="O48" s="1668">
        <f>O46-O47</f>
        <v>-2054.3818856482931</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500</v>
      </c>
      <c r="N49" s="1665">
        <f>N17</f>
        <v>500</v>
      </c>
      <c r="O49" s="1666">
        <f>O17</f>
        <v>500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-1141.1540970299388</v>
      </c>
      <c r="N50" s="1449">
        <f>N48+N49</f>
        <v>-1347.767991339116</v>
      </c>
      <c r="O50" s="1452">
        <f>O48+O49</f>
        <v>-1554.3818856482931</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1141.1540970299388</v>
      </c>
      <c r="N52" s="1315">
        <f>N47-N49</f>
        <v>1347.767991339116</v>
      </c>
      <c r="O52" s="2149">
        <f>O47-O49</f>
        <v>1554.3818856482931</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9.3427820809468667</v>
      </c>
      <c r="N53" s="1740">
        <f>IF(N10=0,0,N$52/N10)</f>
        <v>7.8816841598778709</v>
      </c>
      <c r="O53" s="1741">
        <f>IF(O10=0,0,O$52/O10)</f>
        <v>7.069963092617316</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26.693663088419623</v>
      </c>
      <c r="N54" s="1740">
        <f>IF(N9=0,0,N$52/N9)</f>
        <v>22.519097599651058</v>
      </c>
      <c r="O54" s="1741">
        <f>IF(O9=0,0,O$52/O9)</f>
        <v>20.199894550335191</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60.728083526154627</v>
      </c>
      <c r="N55" s="1740">
        <f t="shared" si="3"/>
        <v>51.230947039206157</v>
      </c>
      <c r="O55" s="1741">
        <f t="shared" si="3"/>
        <v>45.95476010201255</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0.4766725551503504</v>
      </c>
      <c r="N56" s="1659">
        <f t="shared" si="3"/>
        <v>0.40212674285091188</v>
      </c>
      <c r="O56" s="1660">
        <f t="shared" si="3"/>
        <v>0.36071240268455701</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0.28600353309021026</v>
      </c>
      <c r="N57" s="1659">
        <f t="shared" si="3"/>
        <v>0.24127604571054706</v>
      </c>
      <c r="O57" s="1660">
        <f t="shared" si="3"/>
        <v>0.21642744161073421</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0.13240904309731957</v>
      </c>
      <c r="N58" s="1662">
        <f>N52/$N$12*10/$F$58</f>
        <v>0.11170187301414219</v>
      </c>
      <c r="O58" s="1663">
        <f>O52/$O$12*10/$F$58</f>
        <v>0.10019788963459916</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1075.1565008760927</v>
      </c>
      <c r="N59" s="1313">
        <f>N52-N39</f>
        <v>1255.3713567237314</v>
      </c>
      <c r="O59" s="1320">
        <f>O52-O39</f>
        <v>1435.58621257137</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22.634873702654581</v>
      </c>
      <c r="N60" s="2166">
        <f>N59/N7</f>
        <v>18.87776476276288</v>
      </c>
      <c r="O60" s="2167">
        <f>O59/O7</f>
        <v>16.790482018378597</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0.44910463695743219</v>
      </c>
      <c r="N61" s="1580">
        <f>IF(N12=0,0,N$59/N12)</f>
        <v>0.37455882465799367</v>
      </c>
      <c r="O61" s="1657">
        <f>IF(O12=0,0,O$59/O12)</f>
        <v>0.3331444844916388</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0.12475128804373117</v>
      </c>
      <c r="N62" s="1580">
        <f>N59/$N$12*10/$F$58</f>
        <v>0.10404411796055379</v>
      </c>
      <c r="O62" s="2171">
        <f>O59/$O$12*10/$F$58</f>
        <v>9.2540134581010777E-2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0.26946278217445929</v>
      </c>
      <c r="N63" s="1377">
        <f>IF(N13=0,0,N$59/N13)</f>
        <v>0.22473529479479618</v>
      </c>
      <c r="O63" s="1488">
        <f>IF(O13=0,0,O$59/O13)</f>
        <v>0.1998866906949833</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462.27157849272351</v>
      </c>
      <c r="N65" s="1316">
        <f>SUM(N19:N23)+N31</f>
        <v>544.36995257074796</v>
      </c>
      <c r="O65" s="1317">
        <f>SUM(O19:O23)+O31</f>
        <v>626.46832664877218</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0.19309589744892378</v>
      </c>
      <c r="N66" s="1377">
        <f>N65/N12</f>
        <v>0.16242091913436807</v>
      </c>
      <c r="O66" s="1488">
        <f>O65/O12</f>
        <v>0.14537926451517039</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740.82731486726902</v>
      </c>
      <c r="N67" s="1494">
        <f>N24+N25+N26+N40+N38</f>
        <v>777.22765415298329</v>
      </c>
      <c r="O67" s="1495">
        <f>O24+O25+O26+O40+O38</f>
        <v>825.34413592259762</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0.30945167705399707</v>
      </c>
      <c r="N68" s="1612">
        <f>N67/N12</f>
        <v>0.23189749795709017</v>
      </c>
      <c r="O68" s="1631">
        <f>O67/O12</f>
        <v>0.19153071009064274</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Q29" sqref="Q29"/>
      <pageMargins left="0.51181102362204722" right="0.27559055118110237" top="0.55118110236220474" bottom="0.70866141732283472" header="0.51181102362204722" footer="0.31496062992125984"/>
      <printOptions horizontalCentered="1"/>
      <pageSetup paperSize="9" scale="68" firstPageNumber="15" orientation="portrait" useFirstPageNumber="1" verticalDpi="300" r:id="rId1"/>
      <headerFooter alignWithMargins="0">
        <oddFooter>&amp;L&amp;12LEL Schwäbisch Gmünd (Abtlg. II)
LAZBW Aulendorf&amp;C&amp;12 59&amp;9
&amp;R&amp;12&amp;F
&amp;A</oddFooter>
      </headerFooter>
    </customSheetView>
  </customSheetViews>
  <mergeCells count="12">
    <mergeCell ref="B19:B27"/>
    <mergeCell ref="D19:D23"/>
    <mergeCell ref="E1:I1"/>
    <mergeCell ref="B2:B4"/>
    <mergeCell ref="G3:O3"/>
    <mergeCell ref="B6:B13"/>
    <mergeCell ref="B15:B17"/>
    <mergeCell ref="B28:B34"/>
    <mergeCell ref="D28:K28"/>
    <mergeCell ref="B36:B44"/>
    <mergeCell ref="B46:B50"/>
    <mergeCell ref="B52:B68"/>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68" firstPageNumber="15" orientation="portrait" useFirstPageNumber="1" verticalDpi="300" r:id="rId2"/>
  <headerFooter alignWithMargins="0">
    <oddFooter>&amp;L&amp;12LEL Schwäbisch Gmünd (Abtlg. II)
LAZBW Aulendorf&amp;C&amp;12 59&amp;9
&amp;R&amp;12&amp;F
&amp;A</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CA73"/>
  <sheetViews>
    <sheetView showGridLines="0" showZeros="0" zoomScale="90" zoomScaleNormal="72" workbookViewId="0">
      <pane xSplit="10" ySplit="5" topLeftCell="K6"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3.625" style="8" customWidth="1"/>
    <col min="2" max="2" width="5.375"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375" style="291" customWidth="1"/>
    <col min="12" max="12" width="9.625" style="291" customWidth="1"/>
    <col min="13" max="13" width="9.875" style="7" customWidth="1"/>
    <col min="14" max="14" width="9.625" style="7" customWidth="1"/>
    <col min="15" max="15" width="8.375" style="291" customWidth="1"/>
    <col min="16" max="16" width="10.87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377" t="s">
        <v>1150</v>
      </c>
      <c r="N2" s="3377"/>
      <c r="O2" s="3377"/>
      <c r="P2" s="337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1274</v>
      </c>
      <c r="I3" s="3379"/>
      <c r="J3" s="3379"/>
      <c r="K3" s="3379"/>
      <c r="L3" s="3379"/>
      <c r="M3" s="3379"/>
      <c r="N3" s="3379"/>
      <c r="O3" s="3379"/>
      <c r="P3" s="3406"/>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3404">
        <v>35</v>
      </c>
      <c r="L5" s="3405"/>
      <c r="M5" s="3404">
        <v>45</v>
      </c>
      <c r="N5" s="3405"/>
      <c r="O5" s="3404">
        <v>55</v>
      </c>
      <c r="P5" s="3405"/>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8</v>
      </c>
      <c r="L6" s="581">
        <v>10</v>
      </c>
      <c r="M6" s="577">
        <v>8</v>
      </c>
      <c r="N6" s="581">
        <v>10</v>
      </c>
      <c r="O6" s="577">
        <v>8</v>
      </c>
      <c r="P6" s="581">
        <v>10</v>
      </c>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18</v>
      </c>
      <c r="L7" s="581">
        <v>18</v>
      </c>
      <c r="M7" s="577">
        <v>18</v>
      </c>
      <c r="N7" s="581">
        <v>18</v>
      </c>
      <c r="O7" s="577">
        <v>18</v>
      </c>
      <c r="P7" s="581">
        <v>18</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v>7</v>
      </c>
      <c r="L8" s="582">
        <v>7</v>
      </c>
      <c r="M8" s="578">
        <v>7</v>
      </c>
      <c r="N8" s="582">
        <v>7</v>
      </c>
      <c r="O8" s="578">
        <v>7</v>
      </c>
      <c r="P8" s="582">
        <v>7</v>
      </c>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32.200000000000003</v>
      </c>
      <c r="L9" s="596">
        <f>IF(K7=0,0,K9/K7*100)</f>
        <v>178.88888888888889</v>
      </c>
      <c r="M9" s="673">
        <f>M5*(100-M6)/100</f>
        <v>41.4</v>
      </c>
      <c r="N9" s="674">
        <f>IF(M7=0,0,M9/M7*100)</f>
        <v>229.99999999999997</v>
      </c>
      <c r="O9" s="595">
        <f>O5*(100-O6)/100</f>
        <v>50.6</v>
      </c>
      <c r="P9" s="596">
        <f>IF(O7=0,0,O9/O7*100)</f>
        <v>281.11111111111114</v>
      </c>
      <c r="Q9" s="2191"/>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25.555555555555554</v>
      </c>
      <c r="M10" s="236"/>
      <c r="N10" s="675">
        <f>IF(M8=0,0,1/M8*N9)</f>
        <v>32.857142857142854</v>
      </c>
      <c r="O10" s="164"/>
      <c r="P10" s="597">
        <f>IF(O8=0,0,1/O8*P9)</f>
        <v>40.158730158730158</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28.980000000000004</v>
      </c>
      <c r="L11" s="584">
        <f>IF(L7=0,0,K11/L7*100)</f>
        <v>161.00000000000003</v>
      </c>
      <c r="M11" s="676">
        <f>M9*(100-N6)/100</f>
        <v>37.26</v>
      </c>
      <c r="N11" s="677">
        <f>IF(N7=0,0,M11/N7*100)</f>
        <v>206.99999999999997</v>
      </c>
      <c r="O11" s="583">
        <f>O9*(100-P6)/100</f>
        <v>45.54</v>
      </c>
      <c r="P11" s="584">
        <f>IF(P7=0,0,O11/P7*100)</f>
        <v>252.99999999999997</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23.000000000000004</v>
      </c>
      <c r="M12" s="666"/>
      <c r="N12" s="678">
        <f>IF(N8=0,0,1/N8*N11)</f>
        <v>29.571428571428566</v>
      </c>
      <c r="O12" s="414"/>
      <c r="P12" s="422">
        <f>IF(P8=0,0,1/P8*P11)</f>
        <v>36.142857142857139</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v>
      </c>
      <c r="L13" s="360"/>
      <c r="M13" s="419">
        <v>6</v>
      </c>
      <c r="N13" s="649"/>
      <c r="O13" s="419">
        <v>6</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v>
      </c>
      <c r="L14" s="360"/>
      <c r="M14" s="679">
        <f>M13/$G14</f>
        <v>10</v>
      </c>
      <c r="N14" s="649"/>
      <c r="O14" s="426">
        <f>O13/$G14</f>
        <v>10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3398">
        <f>K$11*K13*10</f>
        <v>1738.8000000000002</v>
      </c>
      <c r="L15" s="3399"/>
      <c r="M15" s="680">
        <f>M$11*M13*10</f>
        <v>2235.6</v>
      </c>
      <c r="N15" s="649"/>
      <c r="O15" s="3398">
        <f>O$11*O13*10</f>
        <v>2732.4</v>
      </c>
      <c r="P15" s="3399"/>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3400">
        <f>K$11*K14*10</f>
        <v>2898.0000000000009</v>
      </c>
      <c r="L16" s="3401"/>
      <c r="M16" s="3402">
        <f>M$11*M14*10</f>
        <v>3725.9999999999995</v>
      </c>
      <c r="N16" s="3403"/>
      <c r="O16" s="3400">
        <f>O$11*O14*10</f>
        <v>4554</v>
      </c>
      <c r="P16" s="3401"/>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0</v>
      </c>
      <c r="M18" s="650"/>
      <c r="N18" s="1911">
        <f>SUM(N19:N23)</f>
        <v>0</v>
      </c>
      <c r="O18" s="268"/>
      <c r="P18" s="1910">
        <f>SUM(P19:P23)</f>
        <v>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6</v>
      </c>
      <c r="C19" s="51"/>
      <c r="D19" s="79"/>
      <c r="E19" s="49"/>
      <c r="F19" s="49"/>
      <c r="G19" s="49"/>
      <c r="H19" s="79">
        <f>IF($B19=0,0,VLOOKUP($B19,Prämien!$C$8:$M$45,11))</f>
        <v>0</v>
      </c>
      <c r="I19" s="79"/>
      <c r="J19"/>
      <c r="K19" s="269"/>
      <c r="L19" s="191">
        <f>IF(R19=TRUE,$H19,0)</f>
        <v>0</v>
      </c>
      <c r="M19" s="652"/>
      <c r="N19" s="672">
        <f>IF(U19=TRUE,$H19,0)</f>
        <v>0</v>
      </c>
      <c r="O19" s="269"/>
      <c r="P19" s="192">
        <f>IF(X19=TRUE,$H19,0)</f>
        <v>0</v>
      </c>
      <c r="Q19" s="436"/>
      <c r="R19" s="468" t="b">
        <v>0</v>
      </c>
      <c r="S19" s="436"/>
      <c r="T19" s="436"/>
      <c r="U19" s="468" t="b">
        <v>0</v>
      </c>
      <c r="V19" s="436"/>
      <c r="W19" s="436"/>
      <c r="X19" s="468" t="b">
        <v>0</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6</v>
      </c>
      <c r="C20" s="51"/>
      <c r="D20" s="79">
        <f>IF($B20=0,0,VLOOKUP($B20,Prämien!$C$8:$M$45,2))</f>
        <v>0</v>
      </c>
      <c r="E20" s="49"/>
      <c r="F20" s="49"/>
      <c r="G20" s="49"/>
      <c r="H20" s="79">
        <f>IF($B20=0,0,VLOOKUP($B20,Prämien!$C$8:$M$45,11))</f>
        <v>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6</v>
      </c>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0</v>
      </c>
      <c r="M24" s="650"/>
      <c r="N24" s="651">
        <f>SUM(N25:N26)</f>
        <v>0</v>
      </c>
      <c r="O24" s="268"/>
      <c r="P24" s="267">
        <f>SUM(P25:P26)</f>
        <v>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3</v>
      </c>
      <c r="C25" s="51"/>
      <c r="D25" s="79" t="str">
        <f>IF($B25=0,0,VLOOKUP($B25,Prämien!$P$8:$Y$11,2))</f>
        <v>Zahlungsanspruch individuell 1)</v>
      </c>
      <c r="E25" s="49"/>
      <c r="F25" s="49"/>
      <c r="G25" s="163"/>
      <c r="H25" s="49"/>
      <c r="I25" s="49"/>
      <c r="J25" s="90"/>
      <c r="K25" s="269"/>
      <c r="L25" s="192">
        <f>IF($B25=0,0,VLOOKUP($B25,Prämien!$P$8:$Y$11,10))</f>
        <v>0</v>
      </c>
      <c r="M25" s="652"/>
      <c r="N25" s="1433">
        <f>IF($B25=0,0,VLOOKUP($B25,Prämien!$P$8:$Y$11,10))</f>
        <v>0</v>
      </c>
      <c r="O25" s="269"/>
      <c r="P25" s="192">
        <f>IF($B25=0,0,VLOOKUP($B25,Prämien!$P$8:$Y$11,10))</f>
        <v>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205.44000000000003</v>
      </c>
      <c r="M27" s="669"/>
      <c r="N27" s="651">
        <f>SUM(N29:N30)</f>
        <v>205.44000000000003</v>
      </c>
      <c r="O27" s="272"/>
      <c r="P27" s="267">
        <f>SUM(P29:P30)</f>
        <v>205.44000000000003</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3.2</v>
      </c>
      <c r="I29" s="586">
        <f>H29*($H$27+100)/100</f>
        <v>3.4240000000000004</v>
      </c>
      <c r="J29" s="90"/>
      <c r="K29" s="382">
        <v>60</v>
      </c>
      <c r="L29" s="279">
        <f>$I29*K29</f>
        <v>205.44000000000003</v>
      </c>
      <c r="M29" s="382">
        <v>60</v>
      </c>
      <c r="N29" s="656">
        <f>$I29*M29</f>
        <v>205.44000000000003</v>
      </c>
      <c r="O29" s="382">
        <v>60</v>
      </c>
      <c r="P29" s="279">
        <f>$I29*O29</f>
        <v>205.44000000000003</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225.40313600000005</v>
      </c>
      <c r="M31" s="683"/>
      <c r="N31" s="651">
        <f>SUM(N33:N36)-N17</f>
        <v>289.80403200000001</v>
      </c>
      <c r="O31" s="276"/>
      <c r="P31" s="267">
        <f>SUM(P33:P36)-P17</f>
        <v>354.204928</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v>2.4</v>
      </c>
      <c r="H33" s="2989">
        <v>-1.8</v>
      </c>
      <c r="I33"/>
      <c r="J33" s="163"/>
      <c r="K33" s="278">
        <f>$G$33*K$9+($H$33*K$5)</f>
        <v>14.280000000000001</v>
      </c>
      <c r="L33" s="279">
        <f>K33*$E33</f>
        <v>50.979600000000005</v>
      </c>
      <c r="M33" s="684">
        <f>$G$33*M$9+($H$33*M$5)</f>
        <v>18.36</v>
      </c>
      <c r="N33" s="656">
        <f>M33*$E33</f>
        <v>65.545199999999994</v>
      </c>
      <c r="O33" s="278">
        <f>$G$33*O$9+($H$33*O$5)</f>
        <v>22.439999999999998</v>
      </c>
      <c r="P33" s="279">
        <f>O33*$E33</f>
        <v>80.110799999999983</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0.8</v>
      </c>
      <c r="H34" s="327"/>
      <c r="I34"/>
      <c r="J34" s="163"/>
      <c r="K34" s="278">
        <f>G34*$K$9+H34</f>
        <v>25.760000000000005</v>
      </c>
      <c r="L34" s="279">
        <f>K34*$E34</f>
        <v>66.826592000000019</v>
      </c>
      <c r="M34" s="684">
        <f>G34*$M$9+H34</f>
        <v>33.119999999999997</v>
      </c>
      <c r="N34" s="656">
        <f>M34*$E34</f>
        <v>85.919904000000002</v>
      </c>
      <c r="O34" s="278">
        <f>G34*$O$9+H34</f>
        <v>40.480000000000004</v>
      </c>
      <c r="P34" s="279">
        <f>O34*$E34</f>
        <v>105.01321600000003</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3.6</v>
      </c>
      <c r="H35" s="327"/>
      <c r="I35"/>
      <c r="J35" s="163"/>
      <c r="K35" s="278">
        <f>G35*$K$9+H35</f>
        <v>115.92000000000002</v>
      </c>
      <c r="L35" s="279">
        <f>K35*$E35</f>
        <v>107.59694400000002</v>
      </c>
      <c r="M35" s="684">
        <f>G35*$M$9+H35</f>
        <v>149.04</v>
      </c>
      <c r="N35" s="656">
        <f>M35*$E35</f>
        <v>138.33892800000001</v>
      </c>
      <c r="O35" s="278">
        <f>G35*$O$9+H35</f>
        <v>182.16</v>
      </c>
      <c r="P35" s="279">
        <f>O35*$E35</f>
        <v>169.08091200000001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146.55626653790222</v>
      </c>
      <c r="M42" s="687"/>
      <c r="N42" s="651">
        <f>SUM(N45:N55)</f>
        <v>149.30260742016</v>
      </c>
      <c r="O42" s="367"/>
      <c r="P42" s="267">
        <f>SUM(P45:P55)</f>
        <v>152.04894830241778</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22</v>
      </c>
      <c r="C45" s="103"/>
      <c r="D45" s="132"/>
      <c r="E45" s="8"/>
      <c r="F45" s="8"/>
      <c r="G45" s="607"/>
      <c r="H45" s="602">
        <f>IF($B45=0,0,VLOOKUP($B45,Arbeitsgänge!$B$26:$T$79,6))</f>
        <v>0</v>
      </c>
      <c r="I45" s="603">
        <f>IF($B45=0,0,VLOOKUP($B45,Arbeitsgänge!$B$26:$T$79,11))</f>
        <v>10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03"/>
      <c r="D46" s="132"/>
      <c r="E46" s="8"/>
      <c r="F46" s="8"/>
      <c r="G46" s="607"/>
      <c r="H46" s="602">
        <f>IF($B46=0,0,VLOOKUP($B46,Arbeitsgänge!$B$26:$T$79,6))</f>
        <v>120</v>
      </c>
      <c r="I46" s="603">
        <f>IF($B46=0,0,VLOOKUP($B46,Arbeitsgänge!$B$26:$T$79,11))</f>
        <v>1.42</v>
      </c>
      <c r="J46" s="401">
        <f>IF($B46=0,0,VLOOKUP($B46,Arbeitsgänge!$B$26:$T$79,12))</f>
        <v>46.910793439999992</v>
      </c>
      <c r="K46" s="316">
        <v>1</v>
      </c>
      <c r="L46" s="279">
        <f t="shared" ref="L46:P55" si="0">K46*$J46</f>
        <v>46.910793439999992</v>
      </c>
      <c r="M46" s="316">
        <v>1</v>
      </c>
      <c r="N46" s="656">
        <f t="shared" si="0"/>
        <v>46.910793439999992</v>
      </c>
      <c r="O46" s="316">
        <v>1</v>
      </c>
      <c r="P46" s="279">
        <f t="shared" si="0"/>
        <v>46.910793439999992</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8</v>
      </c>
      <c r="C47" s="103"/>
      <c r="D47" s="132"/>
      <c r="E47" s="8"/>
      <c r="F47" s="8"/>
      <c r="G47" s="607"/>
      <c r="H47" s="602">
        <f>IF($B47=0,0,VLOOKUP($B47,Arbeitsgänge!$B$26:$T$79,6))</f>
        <v>83</v>
      </c>
      <c r="I47" s="603">
        <f>IF($B47=0,0,VLOOKUP($B47,Arbeitsgänge!$B$26:$T$79,11))</f>
        <v>1.03</v>
      </c>
      <c r="J47" s="401">
        <f>IF($B47=0,0,VLOOKUP($B47,Arbeitsgänge!$B$26:$T$79,12))</f>
        <v>34.405680761999996</v>
      </c>
      <c r="K47" s="316">
        <v>1</v>
      </c>
      <c r="L47" s="279">
        <f t="shared" si="0"/>
        <v>34.405680761999996</v>
      </c>
      <c r="M47" s="316">
        <v>1</v>
      </c>
      <c r="N47" s="656">
        <f t="shared" si="0"/>
        <v>34.405680761999996</v>
      </c>
      <c r="O47" s="316">
        <v>1</v>
      </c>
      <c r="P47" s="279">
        <f t="shared" si="0"/>
        <v>34.405680761999996</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25</v>
      </c>
      <c r="C48" s="103"/>
      <c r="D48" s="132"/>
      <c r="E48" s="8"/>
      <c r="F48" s="8"/>
      <c r="G48" s="607"/>
      <c r="H48" s="602">
        <f>IF($B48=0,0,VLOOKUP($B48,Arbeitsgänge!$B$26:$T$79,6))</f>
        <v>0</v>
      </c>
      <c r="I48" s="603">
        <f>IF($B48=0,0,VLOOKUP($B48,Arbeitsgänge!$B$26:$T$79,11))</f>
        <v>0</v>
      </c>
      <c r="J48" s="401">
        <f>IF($B48=0,0,VLOOKUP($B48,Arbeitsgänge!$B$26:$T$79,12))</f>
        <v>0</v>
      </c>
      <c r="K48" s="316"/>
      <c r="L48" s="279">
        <f t="shared" si="0"/>
        <v>0</v>
      </c>
      <c r="M48" s="316"/>
      <c r="N48" s="656">
        <f t="shared" si="0"/>
        <v>0</v>
      </c>
      <c r="O48" s="316"/>
      <c r="P48" s="279">
        <f t="shared" si="0"/>
        <v>0</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22</v>
      </c>
      <c r="C49" s="103"/>
      <c r="D49" s="132"/>
      <c r="E49" s="8"/>
      <c r="F49" s="8"/>
      <c r="G49" s="607"/>
      <c r="H49" s="602">
        <f>IF($B49=0,0,VLOOKUP($B49,Arbeitsgänge!$B$26:$T$79,6))</f>
        <v>0</v>
      </c>
      <c r="I49" s="603">
        <f>IF($B49=0,0,VLOOKUP($B49,Arbeitsgänge!$B$26:$T$79,11))</f>
        <v>10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28</v>
      </c>
      <c r="C50" s="103"/>
      <c r="D50" s="132"/>
      <c r="E50" s="8"/>
      <c r="F50" s="8"/>
      <c r="G50" s="607"/>
      <c r="H50" s="602">
        <f>IF($B50=0,0,VLOOKUP($B50,Arbeitsgänge!$B$26:$T$79,6))</f>
        <v>200</v>
      </c>
      <c r="I50" s="603">
        <f>IF($B50=0,0,VLOOKUP($B50,Arbeitsgänge!$B$26:$T$79,11))</f>
        <v>0.3</v>
      </c>
      <c r="J50" s="401">
        <f>IF($B50=0,0,VLOOKUP($B50,Arbeitsgänge!$B$26:$T$79,12))</f>
        <v>16.220808179999999</v>
      </c>
      <c r="K50" s="316">
        <v>1</v>
      </c>
      <c r="L50" s="279">
        <f t="shared" si="0"/>
        <v>16.220808179999999</v>
      </c>
      <c r="M50" s="316">
        <v>1</v>
      </c>
      <c r="N50" s="656">
        <f t="shared" si="0"/>
        <v>16.220808179999999</v>
      </c>
      <c r="O50" s="316">
        <v>1</v>
      </c>
      <c r="P50" s="279">
        <f t="shared" si="0"/>
        <v>16.220808179999999</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31</v>
      </c>
      <c r="C51" s="103"/>
      <c r="D51" s="132"/>
      <c r="E51" s="8"/>
      <c r="F51" s="8"/>
      <c r="G51" s="607"/>
      <c r="H51" s="602">
        <f>IF($B51=0,0,VLOOKUP($B51,Arbeitsgänge!$B$26:$T$79,6))</f>
        <v>102</v>
      </c>
      <c r="I51" s="603">
        <f>IF($B51=0,0,VLOOKUP($B51,Arbeitsgänge!$B$26:$T$79,11))</f>
        <v>0.2</v>
      </c>
      <c r="J51" s="401">
        <f>IF($B51=0,0,VLOOKUP($B51,Arbeitsgänge!$B$26:$T$79,12))</f>
        <v>5.6907504080000004</v>
      </c>
      <c r="K51" s="316">
        <v>1</v>
      </c>
      <c r="L51" s="279">
        <f t="shared" si="0"/>
        <v>5.6907504080000004</v>
      </c>
      <c r="M51" s="316">
        <v>1</v>
      </c>
      <c r="N51" s="656">
        <f t="shared" si="0"/>
        <v>5.6907504080000004</v>
      </c>
      <c r="O51" s="316">
        <v>1</v>
      </c>
      <c r="P51" s="279">
        <f t="shared" si="0"/>
        <v>5.6907504080000004</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32</v>
      </c>
      <c r="C52" s="103"/>
      <c r="D52" s="132"/>
      <c r="E52" s="8"/>
      <c r="F52" s="8"/>
      <c r="G52" s="607"/>
      <c r="H52" s="602">
        <f>IF($B52=0,0,VLOOKUP($B52,Arbeitsgänge!$B$26:$T$79,6))</f>
        <v>83</v>
      </c>
      <c r="I52" s="603">
        <f>IF($B52=0,0,VLOOKUP($B52,Arbeitsgänge!$B$26:$T$79,11))</f>
        <v>0.26</v>
      </c>
      <c r="J52" s="401">
        <f>IF($B52=0,0,VLOOKUP($B52,Arbeitsgänge!$B$26:$T$79,12))</f>
        <v>7.3773665359999994</v>
      </c>
      <c r="K52" s="316">
        <v>1</v>
      </c>
      <c r="L52" s="279">
        <f t="shared" si="0"/>
        <v>7.3773665359999994</v>
      </c>
      <c r="M52" s="316">
        <v>1</v>
      </c>
      <c r="N52" s="656">
        <f t="shared" si="0"/>
        <v>7.3773665359999994</v>
      </c>
      <c r="O52" s="316">
        <v>1</v>
      </c>
      <c r="P52" s="279">
        <f t="shared" si="0"/>
        <v>7.3773665359999994</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49</v>
      </c>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45</v>
      </c>
      <c r="C54" s="103"/>
      <c r="D54" s="132"/>
      <c r="E54" s="8"/>
      <c r="F54" s="8"/>
      <c r="G54" s="607"/>
      <c r="H54" s="602">
        <f>IF($B54=0,0,VLOOKUP($B54,Arbeitsgänge!$B$26:$T$79,6))</f>
        <v>102</v>
      </c>
      <c r="I54" s="603">
        <f>IF($B54=0,0,VLOOKUP($B54,Arbeitsgänge!$B$26:$T$79,11))</f>
        <v>0.94</v>
      </c>
      <c r="J54" s="401">
        <f>IF($B54=0,0,VLOOKUP($B54,Arbeitsgänge!$B$26:$T$79,12))</f>
        <v>16.119826917599998</v>
      </c>
      <c r="K54" s="316">
        <f>L9/300</f>
        <v>0.59629629629629632</v>
      </c>
      <c r="L54" s="279">
        <f t="shared" si="0"/>
        <v>9.6121930879022219</v>
      </c>
      <c r="M54" s="318">
        <f>N9/300</f>
        <v>0.76666666666666661</v>
      </c>
      <c r="N54" s="656">
        <f t="shared" si="0"/>
        <v>12.358533970159996</v>
      </c>
      <c r="O54" s="318">
        <f>P9/300</f>
        <v>0.93703703703703711</v>
      </c>
      <c r="P54" s="279">
        <f t="shared" si="0"/>
        <v>15.104874852417776</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2</v>
      </c>
      <c r="C55" s="103"/>
      <c r="D55" s="133"/>
      <c r="E55" s="84"/>
      <c r="F55" s="84"/>
      <c r="G55" s="608"/>
      <c r="H55" s="604">
        <f>IF($B55=0,0,VLOOKUP($B55,Arbeitsgänge!$B$26:$T$79,6))</f>
        <v>102</v>
      </c>
      <c r="I55" s="604">
        <f>IF($B55=0,0,VLOOKUP($B55,Arbeitsgänge!$B$26:$T$79,11))</f>
        <v>0.78</v>
      </c>
      <c r="J55" s="1430">
        <f>IF($B55=0,0,VLOOKUP($B55,Arbeitsgänge!$B$26:$T$79,12))</f>
        <v>26.338674124000004</v>
      </c>
      <c r="K55" s="317">
        <v>1</v>
      </c>
      <c r="L55" s="313">
        <f t="shared" si="0"/>
        <v>26.338674124000004</v>
      </c>
      <c r="M55" s="319">
        <v>1</v>
      </c>
      <c r="N55" s="661">
        <f t="shared" si="0"/>
        <v>26.338674124000004</v>
      </c>
      <c r="O55" s="319">
        <v>1</v>
      </c>
      <c r="P55" s="313">
        <f t="shared" si="0"/>
        <v>26.338674124000004</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4.5505185185185182</v>
      </c>
      <c r="L56" s="283"/>
      <c r="M56" s="662">
        <f>SUMPRODUCT(M45:M55,I45:I55)</f>
        <v>4.7106666666666666</v>
      </c>
      <c r="N56" s="663"/>
      <c r="O56" s="282">
        <f>SUMPRODUCT(O45:O55,I45:I55)</f>
        <v>4.8708148148148149</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f>IF($G$57%*K56&gt;=10,10+K56,K56*(1+$G$57%))</f>
        <v>7.7358814814814805</v>
      </c>
      <c r="L57" s="285"/>
      <c r="M57" s="664">
        <f>IF($G$57%*M56&gt;=10,10+M56,M56*(1+$G$57%))</f>
        <v>8.0081333333333333</v>
      </c>
      <c r="N57" s="665"/>
      <c r="O57" s="284">
        <f>IF($G$57%*O56&gt;=10,10+O56,O56*(1+$G$57%))</f>
        <v>8.2803851851851853</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42.84</v>
      </c>
      <c r="M58" s="690"/>
      <c r="N58" s="651">
        <f>SUM(N60:N62)</f>
        <v>47.6</v>
      </c>
      <c r="O58" s="286"/>
      <c r="P58" s="267">
        <f>SUM(P60:P62)</f>
        <v>52.360000000000007</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816" t="s">
        <v>1110</v>
      </c>
      <c r="E60" s="58"/>
      <c r="F60" s="58"/>
      <c r="G60" s="58"/>
      <c r="H60" s="2036">
        <v>40</v>
      </c>
      <c r="I60" s="2037">
        <f>H60*($H$58+100)/100</f>
        <v>47.6</v>
      </c>
      <c r="J60" s="341"/>
      <c r="K60" s="2038">
        <v>0.9</v>
      </c>
      <c r="L60" s="2039">
        <f>K60*I60</f>
        <v>42.84</v>
      </c>
      <c r="M60" s="2038">
        <v>1</v>
      </c>
      <c r="N60" s="2040">
        <f>M60*I60</f>
        <v>47.6</v>
      </c>
      <c r="O60" s="2038">
        <v>1.1000000000000001</v>
      </c>
      <c r="P60" s="2039">
        <f>O60*I60</f>
        <v>52.360000000000007</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0.18</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144"/>
      <c r="L66" s="290"/>
      <c r="M66" s="144"/>
      <c r="N66" s="654"/>
      <c r="O66" s="144"/>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20</v>
      </c>
      <c r="M67" s="694"/>
      <c r="N67" s="651">
        <f>SUM(N68:N69)</f>
        <v>20</v>
      </c>
      <c r="O67" s="272"/>
      <c r="P67" s="267">
        <f>SUM(P68:P69)</f>
        <v>20</v>
      </c>
      <c r="Q67" s="958"/>
    </row>
    <row r="68" spans="1:79" s="50" customFormat="1" ht="14.95" customHeight="1" x14ac:dyDescent="0.2">
      <c r="A68" s="2813"/>
      <c r="B68" s="2814"/>
      <c r="C68" s="103"/>
      <c r="D68" s="2815" t="s">
        <v>1107</v>
      </c>
      <c r="E68" s="2809"/>
      <c r="F68" s="2809"/>
      <c r="G68" s="2809"/>
      <c r="H68" s="1102"/>
      <c r="I68" s="2036">
        <v>20</v>
      </c>
      <c r="J68" s="141"/>
      <c r="K68" s="969"/>
      <c r="L68" s="2253">
        <f>$I$68</f>
        <v>20</v>
      </c>
      <c r="M68" s="969"/>
      <c r="N68" s="2254">
        <f>$I$68</f>
        <v>20</v>
      </c>
      <c r="O68" s="969"/>
      <c r="P68" s="2253">
        <f>$I$68</f>
        <v>20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6" activePane="bottomRight" state="frozen"/>
      <selection pane="bottomRight" activeCell="B1" sqref="B1:F1"/>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11">
    <mergeCell ref="B1:F1"/>
    <mergeCell ref="M2:P2"/>
    <mergeCell ref="H3:P3"/>
    <mergeCell ref="K15:L15"/>
    <mergeCell ref="O15:P15"/>
    <mergeCell ref="K16:L16"/>
    <mergeCell ref="M16:N16"/>
    <mergeCell ref="O16:P16"/>
    <mergeCell ref="M5:N5"/>
    <mergeCell ref="K5:L5"/>
    <mergeCell ref="O5:P5"/>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ignoredErrors>
    <ignoredError sqref="M34:M36 O34:O3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242561"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242562"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242563"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242564"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242565"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242566"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242567"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242568"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242569"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242570"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242571"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242572"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242573"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242574"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242575"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242576"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242577"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242578"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242579"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242580"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242581"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242582"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242583"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242584"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242585"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242586"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242587"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242588"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242589"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242590"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242591"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242592"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'Zwf(a)'!M2</f>
        <v>Zwischenf. Landsberger Gemenge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t="str">
        <f>'Zwf(a)'!H3</f>
        <v xml:space="preserve">Saat Anf. Sept.,Frühj. Ernte im Flachsilo.  Ohne Anrechnung der Festkosten Maschinen/Gebäude und keine Bioprämie da diese von der Hauptkultur getragen werden. </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905"/>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903"/>
      <c r="J6" s="2903"/>
      <c r="K6" s="2903"/>
      <c r="L6" s="425" t="s">
        <v>72</v>
      </c>
      <c r="M6" s="258">
        <f>'Zwf(a)'!K5</f>
        <v>35</v>
      </c>
      <c r="N6" s="1290">
        <f>'Zwf(a)'!M5</f>
        <v>45</v>
      </c>
      <c r="O6" s="1298">
        <f>'Zwf(a)'!O5</f>
        <v>55</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903"/>
      <c r="J7" s="2903"/>
      <c r="K7" s="2903"/>
      <c r="L7" s="425" t="s">
        <v>72</v>
      </c>
      <c r="M7" s="391">
        <f>'Zwf(a)'!K9</f>
        <v>32.200000000000003</v>
      </c>
      <c r="N7" s="1291">
        <f>'Zwf(a)'!M9</f>
        <v>41.4</v>
      </c>
      <c r="O7" s="1299">
        <f>'Zwf(a)'!O9</f>
        <v>50.6</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'Zwf(a)'!L9</f>
        <v>178.88888888888889</v>
      </c>
      <c r="N8" s="1292">
        <f>'Zwf(a)'!N9</f>
        <v>229.99999999999997</v>
      </c>
      <c r="O8" s="1201">
        <f>'Zwf(a)'!P9</f>
        <v>281.11111111111114</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903"/>
      <c r="J9" s="2903"/>
      <c r="K9" s="2903"/>
      <c r="L9" s="425" t="s">
        <v>72</v>
      </c>
      <c r="M9" s="967">
        <f>'Zwf(a)'!K11</f>
        <v>28.980000000000004</v>
      </c>
      <c r="N9" s="1181">
        <f>'Zwf(a)'!M11</f>
        <v>37.26</v>
      </c>
      <c r="O9" s="1302">
        <f>'Zwf(a)'!O11</f>
        <v>45.54</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903"/>
      <c r="J10" s="2903"/>
      <c r="K10" s="2903"/>
      <c r="L10" s="425" t="s">
        <v>376</v>
      </c>
      <c r="M10" s="1469">
        <f>'Zwf(a)'!L11</f>
        <v>161.00000000000003</v>
      </c>
      <c r="N10" s="1200">
        <f>'Zwf(a)'!N11</f>
        <v>206.99999999999997</v>
      </c>
      <c r="O10" s="1470">
        <f>'Zwf(a)'!P11</f>
        <v>252.99999999999997</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'Zwf(a)'!L12</f>
        <v>23.000000000000004</v>
      </c>
      <c r="N11" s="1358">
        <f>'Zwf(a)'!N12</f>
        <v>29.571428571428566</v>
      </c>
      <c r="O11" s="1359">
        <f>'Zwf(a)'!P12</f>
        <v>36.142857142857139</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'Zwf(a)'!K15</f>
        <v>1738.8000000000002</v>
      </c>
      <c r="N12" s="1293">
        <f>'Zwf(a)'!M15</f>
        <v>2235.6</v>
      </c>
      <c r="O12" s="1300">
        <f>'Zwf(a)'!O15</f>
        <v>2732.4</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'Zwf(a)'!K16</f>
        <v>2898.0000000000009</v>
      </c>
      <c r="N13" s="1533">
        <f>'Zwf(a)'!M16</f>
        <v>3725.9999999999995</v>
      </c>
      <c r="O13" s="1534">
        <f>'Zwf(a)'!O16</f>
        <v>4554</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904"/>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'Zwf(a)'!L24</f>
        <v>0</v>
      </c>
      <c r="N15" s="2135">
        <f>'Zwf(a)'!N24</f>
        <v>0</v>
      </c>
      <c r="O15" s="2138">
        <f>'Zwf(a)'!P24</f>
        <v>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'Zwf(a)'!L18</f>
        <v>0</v>
      </c>
      <c r="N16" s="1291">
        <f>'Zwf(a)'!N18</f>
        <v>0</v>
      </c>
      <c r="O16" s="2140">
        <f>'Zwf(a)'!P18</f>
        <v>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0</v>
      </c>
      <c r="N17" s="1533">
        <f>N15+N16</f>
        <v>0</v>
      </c>
      <c r="O17" s="2146">
        <f>O15+O16</f>
        <v>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'Zwf(a)'!L27</f>
        <v>205.44000000000003</v>
      </c>
      <c r="N19" s="1528">
        <f>'Zwf(a)'!N27</f>
        <v>205.44000000000003</v>
      </c>
      <c r="O19" s="1529">
        <f>'Zwf(a)'!P27</f>
        <v>205.44000000000003</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'Zwf(a)'!L31</f>
        <v>225.40313600000005</v>
      </c>
      <c r="N20" s="1186">
        <f>'Zwf(a)'!N31</f>
        <v>289.80403200000001</v>
      </c>
      <c r="O20" s="1192">
        <f>'Zwf(a)'!P31</f>
        <v>354.204928</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'Zwf(a)'!L37</f>
        <v>0</v>
      </c>
      <c r="N21" s="1186">
        <f>'Zwf(a)'!N37</f>
        <v>0</v>
      </c>
      <c r="O21" s="1192">
        <f>'Zwf(a)'!P37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'Zwf(a)'!L65</f>
        <v>0</v>
      </c>
      <c r="N22" s="1186">
        <f>'Zwf(a)'!N65</f>
        <v>0</v>
      </c>
      <c r="O22" s="1192">
        <f>'Zwf(a)'!P65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'Zwf(a)'!L67</f>
        <v>20</v>
      </c>
      <c r="N23" s="1186">
        <f>'Zwf(a)'!N67</f>
        <v>20</v>
      </c>
      <c r="O23" s="1192">
        <f>'Zwf(a)'!P67</f>
        <v>20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'Zwf(a)'!L42</f>
        <v>146.55626653790222</v>
      </c>
      <c r="N24" s="1186">
        <f>'Zwf(a)'!N42</f>
        <v>149.30260742016</v>
      </c>
      <c r="O24" s="1192">
        <f>'Zwf(a)'!P42</f>
        <v>152.04894830241778</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'Zwf(a)'!L58</f>
        <v>42.84</v>
      </c>
      <c r="N25" s="1186">
        <f>'Zwf(a)'!N58</f>
        <v>47.6</v>
      </c>
      <c r="O25" s="1192">
        <f>'Zwf(a)'!P58</f>
        <v>52.360000000000007</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'Zwf(a)'!L63</f>
        <v>0</v>
      </c>
      <c r="N26" s="1438">
        <f>'Zwf(a)'!N63</f>
        <v>0</v>
      </c>
      <c r="O26" s="1439">
        <f>'Zwf(a)'!P63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640.23940253790227</v>
      </c>
      <c r="N27" s="1319">
        <f>SUM(N19:N26)</f>
        <v>712.14663942016011</v>
      </c>
      <c r="O27" s="1511">
        <f>SUM(O19:O26)</f>
        <v>784.05387630241785</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-640.23940253790227</v>
      </c>
      <c r="N28" s="1321">
        <f>-N27</f>
        <v>-712.14663942016011</v>
      </c>
      <c r="O28" s="1321">
        <f>-O27</f>
        <v>-784.05387630241785</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-0.36820761590631595</v>
      </c>
      <c r="N29" s="1377">
        <f>IF(N$8=0,0,N$28/N$12)</f>
        <v>-0.31854832681166584</v>
      </c>
      <c r="O29" s="1377">
        <f>IF(O$8=0,0,O$28/O$12)</f>
        <v>-0.28694696102416112</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0</v>
      </c>
      <c r="N30" s="1297">
        <f>N17</f>
        <v>0</v>
      </c>
      <c r="O30" s="1301">
        <f>O17</f>
        <v>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M27*'Zwf(a)'!$L$70*'Zwf(a)'!$P$70/12/100</f>
        <v>4.0014962658618893</v>
      </c>
      <c r="N31" s="1438">
        <f>N27*'Zwf(a)'!$L$70*'Zwf(a)'!$P$70/12/100</f>
        <v>4.4509164963760002</v>
      </c>
      <c r="O31" s="1439">
        <f>O27*'Zwf(a)'!$L$70*'Zwf(a)'!$P$70/12/100</f>
        <v>4.9003367268901119</v>
      </c>
      <c r="P31" s="163"/>
      <c r="T31" s="7" t="s">
        <v>581</v>
      </c>
      <c r="U31" s="2121"/>
      <c r="V31" s="2121"/>
      <c r="W31" s="2121"/>
      <c r="X31" s="2121"/>
      <c r="Y31" s="2121"/>
      <c r="Z31" s="2116">
        <f>'Zwf(a)'!Q18+'Zwf(a)'!Q24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-644.24089880376414</v>
      </c>
      <c r="N32" s="1313">
        <f>N28+N30-N31</f>
        <v>-716.59755591653607</v>
      </c>
      <c r="O32" s="1320">
        <f>O28+O30-O31</f>
        <v>-788.95421302930799</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-0.37050891350573045</v>
      </c>
      <c r="N33" s="1180">
        <f>IF(N12=0,0,N32/N12)</f>
        <v>-0.3205392538542387</v>
      </c>
      <c r="O33" s="1503">
        <f>IF(O12=0,0,O32/O12)</f>
        <v>-0.28874037953056214</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-0.22230534810343822</v>
      </c>
      <c r="N34" s="1194">
        <f>IF(N13=0,0,N32/N13)</f>
        <v>-0.19232355231254325</v>
      </c>
      <c r="O34" s="1508">
        <f>IF(O13=0,0,O32/O13)</f>
        <v>-0.17324422771833728</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'Zwf(a)'!K57</f>
        <v>7.7358814814814805</v>
      </c>
      <c r="N36" s="1771">
        <f>'Zwf(a)'!M57</f>
        <v>8.0081333333333333</v>
      </c>
      <c r="O36" s="1773">
        <f>'Zwf(a)'!O57</f>
        <v>8.2803851851851853</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IF(M37=0,0,'Lager-Fläche'!$L$13)</f>
        <v>2.5287500000000001</v>
      </c>
      <c r="J37" s="218" t="s">
        <v>32</v>
      </c>
      <c r="K37" s="218"/>
      <c r="L37" s="1531" t="s">
        <v>378</v>
      </c>
      <c r="M37" s="1802">
        <f>'Zwf(a)'!L10</f>
        <v>25.555555555555554</v>
      </c>
      <c r="N37" s="1803">
        <f>'Zwf(a)'!N10</f>
        <v>32.857142857142854</v>
      </c>
      <c r="O37" s="1804">
        <f>'Zwf(a)'!P10</f>
        <v>40.158730158730158</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127.64204444444442</v>
      </c>
      <c r="N38" s="1186">
        <f>$J$38*N36</f>
        <v>132.13419999999999</v>
      </c>
      <c r="O38" s="1192">
        <f>$J$38*O36</f>
        <v>136.62635555555556</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64.623611111111103</v>
      </c>
      <c r="N39" s="1805">
        <f>N37*$I$37</f>
        <v>83.087499999999991</v>
      </c>
      <c r="O39" s="1801">
        <f>O37*$I$37</f>
        <v>101.55138888888889</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c r="N40" s="1186"/>
      <c r="O40" s="1192"/>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c r="N41" s="1186"/>
      <c r="O41" s="1192"/>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c r="N42" s="1186"/>
      <c r="O42" s="1192"/>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c r="N43" s="1438"/>
      <c r="O43" s="1439"/>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192.26565555555553</v>
      </c>
      <c r="N44" s="1449">
        <f>SUM(N38:N43)</f>
        <v>215.2217</v>
      </c>
      <c r="O44" s="1452">
        <f>SUM(O38:O43)</f>
        <v>238.17774444444444</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836.50655435931969</v>
      </c>
      <c r="N47" s="1497">
        <f>N27+N31+N44</f>
        <v>931.81925591653612</v>
      </c>
      <c r="O47" s="1536">
        <f>O27+O31+O44</f>
        <v>1027.1319574737524</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-836.50655435931969</v>
      </c>
      <c r="N48" s="1667">
        <f>N46-N47</f>
        <v>-931.81925591653612</v>
      </c>
      <c r="O48" s="1668">
        <f>O46-O47</f>
        <v>-1027.1319574737524</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0</v>
      </c>
      <c r="N49" s="1665">
        <f>N17</f>
        <v>0</v>
      </c>
      <c r="O49" s="1666">
        <f>O17</f>
        <v>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-836.50655435931969</v>
      </c>
      <c r="N50" s="1449">
        <f>N48+N49</f>
        <v>-931.81925591653612</v>
      </c>
      <c r="O50" s="1452">
        <f>O48+O49</f>
        <v>-1027.1319574737524</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836.50655435931969</v>
      </c>
      <c r="N52" s="1315">
        <f>N47-N49</f>
        <v>931.81925591653612</v>
      </c>
      <c r="O52" s="2149">
        <f>O47-O49</f>
        <v>1027.1319574737524</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5.1956928842193761</v>
      </c>
      <c r="N53" s="1740">
        <f>IF(N10=0,0,N$52/N10)</f>
        <v>4.5015422991137015</v>
      </c>
      <c r="O53" s="1741">
        <f>IF(O10=0,0,O$52/O10)</f>
        <v>4.0598101085919076</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28.864960467885425</v>
      </c>
      <c r="N54" s="1740">
        <f>IF(N9=0,0,N$52/N9)</f>
        <v>25.008568328409453</v>
      </c>
      <c r="O54" s="1741">
        <f>IF(O9=0,0,O$52/O9)</f>
        <v>22.554500603288371</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36.369850189535633</v>
      </c>
      <c r="N55" s="1740">
        <f t="shared" si="3"/>
        <v>31.510796093795914</v>
      </c>
      <c r="O55" s="1741">
        <f t="shared" si="3"/>
        <v>28.41867076014335</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0.48108267446475705</v>
      </c>
      <c r="N56" s="1659">
        <f t="shared" si="3"/>
        <v>0.41680947214015751</v>
      </c>
      <c r="O56" s="1660">
        <f t="shared" si="3"/>
        <v>0.3759083433881395</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0.2886496046788542</v>
      </c>
      <c r="N57" s="1659">
        <f t="shared" si="3"/>
        <v>0.25008568328409453</v>
      </c>
      <c r="O57" s="1660">
        <f t="shared" si="3"/>
        <v>0.22554500603288372</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f>M52/$M$12*10/$F$58</f>
        <v>0.13363407624021029</v>
      </c>
      <c r="N58" s="1662">
        <f>N52/$N$12*10/$F$58</f>
        <v>0.11578040892782153</v>
      </c>
      <c r="O58" s="1663">
        <f>O52/$O$12*10/$F$58</f>
        <v>0.10441898427448321</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771.88294324820856</v>
      </c>
      <c r="N59" s="1313">
        <f>N52-N39</f>
        <v>848.73175591653614</v>
      </c>
      <c r="O59" s="1320">
        <f>O52-O39</f>
        <v>925.5805685848635</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23.971519976652438</v>
      </c>
      <c r="N60" s="2166">
        <f>N59/N7</f>
        <v>20.500767051124061</v>
      </c>
      <c r="O60" s="2167">
        <f>O59/O7</f>
        <v>18.292106098515088</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0.44391703660467474</v>
      </c>
      <c r="N61" s="1580">
        <f>IF(N12=0,0,N$59/N12)</f>
        <v>0.37964383428007525</v>
      </c>
      <c r="O61" s="1657">
        <f>IF(O12=0,0,O$59/O12)</f>
        <v>0.33874270552805719</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f>M59/$M$12*10/$F$58</f>
        <v>0.12331028794574299</v>
      </c>
      <c r="N62" s="1580">
        <f>N59/$N$12*10/$F$58</f>
        <v>0.10545662063335423</v>
      </c>
      <c r="O62" s="2171">
        <f>O59/$O$12*10/$F$58</f>
        <v>9.409519598001588E-2</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0.26635022196280478</v>
      </c>
      <c r="N63" s="1377">
        <f>IF(N13=0,0,N$59/N13)</f>
        <v>0.22778630056804516</v>
      </c>
      <c r="O63" s="1488">
        <f>IF(O13=0,0,O$59/O13)</f>
        <v>0.20324562331683432</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454.84463226586195</v>
      </c>
      <c r="N65" s="1316">
        <f>SUM(N19:N23)+N31</f>
        <v>519.69494849637601</v>
      </c>
      <c r="O65" s="1317">
        <f>SUM(O19:O23)+O31</f>
        <v>584.5452647268902</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f>M65/M12</f>
        <v>0.26158536477217731</v>
      </c>
      <c r="N66" s="1377">
        <f>N65/N12</f>
        <v>0.23246329777078906</v>
      </c>
      <c r="O66" s="1488">
        <f>O65/O12</f>
        <v>0.21393107331536018</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319.78465186460443</v>
      </c>
      <c r="N67" s="1494">
        <f>N24+N25+N26+N40+N38</f>
        <v>329.03680742016002</v>
      </c>
      <c r="O67" s="1495">
        <f>O24+O25+O26+O40+O38</f>
        <v>341.03530385797336</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f>M67/M12</f>
        <v>0.18391111793455509</v>
      </c>
      <c r="N68" s="1612">
        <f>N67/N12</f>
        <v>0.14718053650928611</v>
      </c>
      <c r="O68" s="1631">
        <f>O67/O12</f>
        <v>0.12481163221269702</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P49" sqref="P49"/>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3:S31"/>
  <sheetViews>
    <sheetView workbookViewId="0">
      <selection activeCell="E17" sqref="E17"/>
    </sheetView>
  </sheetViews>
  <sheetFormatPr baseColWidth="10" defaultRowHeight="12.9" x14ac:dyDescent="0.2"/>
  <cols>
    <col min="1" max="1" width="1.625" customWidth="1"/>
    <col min="2" max="2" width="16.375" customWidth="1"/>
    <col min="3" max="3" width="11.375" customWidth="1"/>
    <col min="4" max="4" width="10.375" customWidth="1"/>
    <col min="5" max="5" width="10.125" customWidth="1"/>
    <col min="6" max="6" width="6.375" customWidth="1"/>
    <col min="8" max="8" width="8" customWidth="1"/>
    <col min="9" max="9" width="7.625" customWidth="1"/>
    <col min="10" max="10" width="7.5" customWidth="1"/>
  </cols>
  <sheetData>
    <row r="3" spans="2:19" ht="21.1" x14ac:dyDescent="0.35">
      <c r="B3" s="1951" t="s">
        <v>1139</v>
      </c>
      <c r="C3" s="405"/>
    </row>
    <row r="5" spans="2:19" x14ac:dyDescent="0.2">
      <c r="B5" s="405" t="s">
        <v>1081</v>
      </c>
      <c r="C5" s="405"/>
    </row>
    <row r="7" spans="2:19" x14ac:dyDescent="0.2">
      <c r="B7" s="405" t="s">
        <v>1135</v>
      </c>
      <c r="C7" s="405"/>
    </row>
    <row r="9" spans="2:19" x14ac:dyDescent="0.2">
      <c r="B9" s="405" t="s">
        <v>1136</v>
      </c>
    </row>
    <row r="10" spans="2:19" x14ac:dyDescent="0.2">
      <c r="B10" s="405" t="s">
        <v>1137</v>
      </c>
    </row>
    <row r="11" spans="2:19" x14ac:dyDescent="0.2">
      <c r="B11" s="405" t="s">
        <v>1138</v>
      </c>
    </row>
    <row r="12" spans="2:19" x14ac:dyDescent="0.2">
      <c r="B12" s="405"/>
    </row>
    <row r="13" spans="2:19" x14ac:dyDescent="0.2">
      <c r="E13" s="405" t="s">
        <v>499</v>
      </c>
      <c r="G13" s="405" t="s">
        <v>235</v>
      </c>
      <c r="I13" s="405" t="s">
        <v>1082</v>
      </c>
      <c r="K13" s="405" t="s">
        <v>253</v>
      </c>
      <c r="M13" s="405" t="s">
        <v>1129</v>
      </c>
    </row>
    <row r="14" spans="2:19" ht="13.6" customHeight="1" x14ac:dyDescent="0.2">
      <c r="B14" s="405" t="s">
        <v>1131</v>
      </c>
      <c r="C14" s="405"/>
      <c r="D14" s="405" t="s">
        <v>1085</v>
      </c>
      <c r="E14" s="2897">
        <v>20</v>
      </c>
      <c r="G14" s="2897">
        <v>40</v>
      </c>
      <c r="I14" s="2799"/>
      <c r="K14" s="2799">
        <v>40</v>
      </c>
      <c r="M14">
        <f>I14+K14</f>
        <v>40</v>
      </c>
    </row>
    <row r="15" spans="2:19" x14ac:dyDescent="0.2">
      <c r="B15" s="2799">
        <v>10</v>
      </c>
      <c r="C15" s="405" t="s">
        <v>1127</v>
      </c>
      <c r="D15" s="405" t="s">
        <v>1083</v>
      </c>
      <c r="E15" s="2897">
        <v>20</v>
      </c>
      <c r="G15" s="2897">
        <v>30</v>
      </c>
      <c r="I15" s="2799">
        <v>30</v>
      </c>
      <c r="K15" s="2799">
        <v>40</v>
      </c>
      <c r="M15">
        <f>I15+K15</f>
        <v>70</v>
      </c>
      <c r="Q15" s="405" t="s">
        <v>1089</v>
      </c>
      <c r="S15" s="405" t="s">
        <v>1087</v>
      </c>
    </row>
    <row r="17" spans="2:19" x14ac:dyDescent="0.2">
      <c r="B17" s="405" t="s">
        <v>1132</v>
      </c>
      <c r="C17" s="405"/>
      <c r="D17" s="405" t="s">
        <v>1085</v>
      </c>
      <c r="E17" s="2799">
        <v>20</v>
      </c>
      <c r="G17" s="2799">
        <v>40</v>
      </c>
      <c r="I17" s="2799"/>
      <c r="K17" s="2799">
        <v>40</v>
      </c>
      <c r="M17">
        <f>E17+G17+I17+K17</f>
        <v>100</v>
      </c>
    </row>
    <row r="18" spans="2:19" x14ac:dyDescent="0.2">
      <c r="B18" s="2799">
        <v>30</v>
      </c>
      <c r="C18" s="405" t="s">
        <v>1127</v>
      </c>
      <c r="D18" s="405" t="s">
        <v>1083</v>
      </c>
      <c r="E18" s="2799"/>
      <c r="G18" s="2799">
        <v>30</v>
      </c>
      <c r="I18" s="2799">
        <v>30</v>
      </c>
      <c r="K18" s="2799">
        <v>40</v>
      </c>
      <c r="M18">
        <f t="shared" ref="M18:M24" si="0">E18+G18+I18+K18</f>
        <v>100</v>
      </c>
      <c r="Q18" s="405" t="s">
        <v>1089</v>
      </c>
      <c r="S18" s="405" t="s">
        <v>1086</v>
      </c>
    </row>
    <row r="19" spans="2:19" x14ac:dyDescent="0.2">
      <c r="D19" s="405" t="s">
        <v>1084</v>
      </c>
      <c r="E19" s="2799">
        <v>20</v>
      </c>
      <c r="G19" s="2799">
        <v>20</v>
      </c>
      <c r="I19" s="2799">
        <v>20</v>
      </c>
      <c r="K19" s="2799">
        <v>40</v>
      </c>
      <c r="M19">
        <f t="shared" si="0"/>
        <v>100</v>
      </c>
    </row>
    <row r="20" spans="2:19" x14ac:dyDescent="0.2">
      <c r="Q20" s="405" t="s">
        <v>1089</v>
      </c>
      <c r="S20" s="405" t="s">
        <v>1086</v>
      </c>
    </row>
    <row r="21" spans="2:19" x14ac:dyDescent="0.2">
      <c r="B21" s="405" t="s">
        <v>1133</v>
      </c>
      <c r="C21" s="405"/>
      <c r="D21" s="405" t="s">
        <v>1085</v>
      </c>
      <c r="E21" s="2799"/>
      <c r="G21" s="2799">
        <v>100</v>
      </c>
      <c r="I21" s="2799"/>
      <c r="K21" s="2799"/>
      <c r="M21">
        <f t="shared" si="0"/>
        <v>100</v>
      </c>
    </row>
    <row r="22" spans="2:19" x14ac:dyDescent="0.2">
      <c r="B22" s="2799">
        <v>20</v>
      </c>
      <c r="C22" s="405" t="s">
        <v>1127</v>
      </c>
      <c r="D22" s="405" t="s">
        <v>1083</v>
      </c>
      <c r="E22" s="2799">
        <v>20</v>
      </c>
      <c r="G22" s="2799"/>
      <c r="I22" s="2799"/>
      <c r="K22" s="2799">
        <v>80</v>
      </c>
      <c r="M22">
        <f t="shared" si="0"/>
        <v>100</v>
      </c>
      <c r="Q22" s="405" t="s">
        <v>1089</v>
      </c>
      <c r="S22" s="405" t="s">
        <v>1086</v>
      </c>
    </row>
    <row r="23" spans="2:19" x14ac:dyDescent="0.2">
      <c r="D23" s="405" t="s">
        <v>1084</v>
      </c>
      <c r="E23" s="2799"/>
      <c r="G23" s="2799"/>
      <c r="I23" s="2799">
        <v>100</v>
      </c>
      <c r="K23" s="2799"/>
      <c r="M23">
        <f t="shared" si="0"/>
        <v>100</v>
      </c>
    </row>
    <row r="24" spans="2:19" x14ac:dyDescent="0.2">
      <c r="D24" s="405" t="s">
        <v>1088</v>
      </c>
      <c r="E24" s="2799">
        <v>20</v>
      </c>
      <c r="G24" s="2799">
        <v>60</v>
      </c>
      <c r="I24" s="2799"/>
      <c r="K24" s="2799">
        <v>20</v>
      </c>
      <c r="M24">
        <f t="shared" si="0"/>
        <v>100</v>
      </c>
    </row>
    <row r="26" spans="2:19" ht="13.6" thickBot="1" x14ac:dyDescent="0.25">
      <c r="E26" s="405" t="s">
        <v>499</v>
      </c>
      <c r="G26" s="405" t="s">
        <v>235</v>
      </c>
      <c r="I26" s="405" t="s">
        <v>1082</v>
      </c>
      <c r="K26" s="405" t="s">
        <v>253</v>
      </c>
    </row>
    <row r="27" spans="2:19" ht="13.6" thickBot="1" x14ac:dyDescent="0.25">
      <c r="B27" s="405" t="s">
        <v>1128</v>
      </c>
      <c r="E27" s="2898"/>
      <c r="G27" s="2898"/>
      <c r="I27" s="2898"/>
      <c r="K27" s="2898"/>
    </row>
    <row r="29" spans="2:19" x14ac:dyDescent="0.2">
      <c r="B29" s="405" t="s">
        <v>1134</v>
      </c>
    </row>
    <row r="30" spans="2:19" ht="24.45" customHeight="1" thickBot="1" x14ac:dyDescent="0.25"/>
    <row r="31" spans="2:19" ht="21.75" customHeight="1" thickBot="1" x14ac:dyDescent="0.25">
      <c r="B31" s="405" t="s">
        <v>1130</v>
      </c>
      <c r="G31" s="3193"/>
      <c r="H31" s="3194"/>
      <c r="I31" s="3195"/>
    </row>
  </sheetData>
  <customSheetViews>
    <customSheetView guid="{32760361-675F-4FBF-A5CA-B0597C10371F}" state="hidden">
      <selection activeCell="E17" sqref="E17"/>
      <pageMargins left="0.7" right="0.7" top="0.78740157499999996" bottom="0.78740157499999996" header="0.3" footer="0.3"/>
      <pageSetup paperSize="9" orientation="portrait" verticalDpi="0" r:id="rId1"/>
    </customSheetView>
  </customSheetViews>
  <mergeCells count="1">
    <mergeCell ref="G31:I31"/>
  </mergeCells>
  <pageMargins left="0.7" right="0.7" top="0.78740157499999996" bottom="0.78740157499999996" header="0.3" footer="0.3"/>
  <pageSetup paperSize="9" orientation="portrait" verticalDpi="0" r:id="rId2"/>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CA73"/>
  <sheetViews>
    <sheetView showGridLines="0" showZeros="0" zoomScale="90" zoomScaleNormal="72" workbookViewId="0">
      <pane xSplit="10" ySplit="5" topLeftCell="K9" activePane="bottomRight" state="frozen"/>
      <selection activeCell="B3" sqref="B3:I3"/>
      <selection pane="topRight" activeCell="B3" sqref="B3:I3"/>
      <selection pane="bottomLeft" activeCell="B3" sqref="B3:I3"/>
      <selection pane="bottomRight"/>
    </sheetView>
  </sheetViews>
  <sheetFormatPr baseColWidth="10" defaultColWidth="11.375" defaultRowHeight="12.9" x14ac:dyDescent="0.2"/>
  <cols>
    <col min="1" max="1" width="7.625" style="8" customWidth="1"/>
    <col min="2" max="2" width="8"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9.625" style="7" customWidth="1"/>
    <col min="15" max="15" width="8.625" style="291" customWidth="1"/>
    <col min="16" max="16" width="11.625" style="291" customWidth="1"/>
    <col min="17" max="17" width="50.62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3052" t="str">
        <f>"Berechnungsgrundlagen "&amp;Prämien!$Y$2</f>
        <v>Berechnungsgrundlagen 2018</v>
      </c>
      <c r="D2" s="3053"/>
      <c r="E2" s="3053"/>
      <c r="F2" s="3053"/>
      <c r="G2" s="3053"/>
      <c r="H2" s="3054"/>
      <c r="I2" s="3055"/>
      <c r="J2" s="3056" t="str">
        <f>"Verfahren "&amp;Preise!$AJ$5</f>
        <v>Verfahren mit MwSt.</v>
      </c>
      <c r="K2" s="1839"/>
      <c r="L2" s="1111"/>
      <c r="M2" s="3407" t="s">
        <v>1126</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358">
        <v>75</v>
      </c>
      <c r="L5" s="359"/>
      <c r="M5" s="311">
        <v>100</v>
      </c>
      <c r="N5" s="1687"/>
      <c r="O5" s="311">
        <v>125</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c r="L6" s="581"/>
      <c r="M6" s="577"/>
      <c r="N6" s="581"/>
      <c r="O6" s="577"/>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c r="L7" s="581"/>
      <c r="M7" s="577"/>
      <c r="N7" s="581"/>
      <c r="O7" s="577"/>
      <c r="P7" s="581"/>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316</v>
      </c>
      <c r="E9" s="293"/>
      <c r="F9" s="421"/>
      <c r="G9" s="293"/>
      <c r="H9" s="593" t="s">
        <v>416</v>
      </c>
      <c r="I9" s="594" t="s">
        <v>417</v>
      </c>
      <c r="J9" s="83" t="s">
        <v>418</v>
      </c>
      <c r="K9" s="595">
        <f>K5*(100-K6)/100</f>
        <v>75</v>
      </c>
      <c r="L9" s="596">
        <f>IF(K7=0,0,K9/K7*100)</f>
        <v>0</v>
      </c>
      <c r="M9" s="673">
        <f>M5*(100-M6)/100</f>
        <v>100</v>
      </c>
      <c r="N9" s="674">
        <f>IF(M7=0,0,M9/M7*100)</f>
        <v>0</v>
      </c>
      <c r="O9" s="595">
        <f>O5*(100-O6)/100</f>
        <v>125</v>
      </c>
      <c r="P9" s="596">
        <f>IF(O7=0,0,O9/O7*100)</f>
        <v>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75</v>
      </c>
      <c r="L11" s="584">
        <f>IF(L7=0,0,K11/L7*100)</f>
        <v>0</v>
      </c>
      <c r="M11" s="676">
        <f>M9*(100-N6)/100</f>
        <v>100</v>
      </c>
      <c r="N11" s="677">
        <f>IF(N7=0,0,M11/N7*100)</f>
        <v>0</v>
      </c>
      <c r="O11" s="583">
        <f>O9*(100-P6)/100</f>
        <v>125</v>
      </c>
      <c r="P11" s="584">
        <f>IF(P7=0,0,O11/P7*100)</f>
        <v>0</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c r="L13" s="360"/>
      <c r="M13" s="419"/>
      <c r="N13" s="649"/>
      <c r="O13" s="419"/>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0</v>
      </c>
      <c r="L14" s="360"/>
      <c r="M14" s="679">
        <f>M13/$G14</f>
        <v>0</v>
      </c>
      <c r="N14" s="649"/>
      <c r="O14" s="426">
        <f>O13/$G14</f>
        <v>0</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0</v>
      </c>
      <c r="L15" s="360"/>
      <c r="M15" s="680">
        <f>M$11*M13*10</f>
        <v>0</v>
      </c>
      <c r="N15" s="649"/>
      <c r="O15" s="417">
        <f>O$11*O13*10</f>
        <v>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0</v>
      </c>
      <c r="L16" s="359"/>
      <c r="M16" s="681">
        <f>M$11*M14*10</f>
        <v>0</v>
      </c>
      <c r="N16" s="370"/>
      <c r="O16" s="418">
        <f>O$11*O14*10</f>
        <v>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280</v>
      </c>
      <c r="M18" s="650"/>
      <c r="N18" s="1911">
        <f>SUM(N19:N23)</f>
        <v>280</v>
      </c>
      <c r="O18" s="268"/>
      <c r="P18" s="1910">
        <f>SUM(P19:P23)</f>
        <v>280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3</v>
      </c>
      <c r="C20" s="51"/>
      <c r="D20" s="79" t="str">
        <f>IF($B20=0,0,VLOOKUP($B20,Prämien!$C$8:$M$45,2))</f>
        <v>FAKT (A 1.2) mind. 5 gliedrige FF (Ökokombi)</v>
      </c>
      <c r="E20" s="49"/>
      <c r="F20" s="49"/>
      <c r="G20" s="49"/>
      <c r="H20" s="79">
        <f>IF($B20=0,0,VLOOKUP($B20,Prämien!$C$8:$M$45,11))</f>
        <v>50</v>
      </c>
      <c r="I20" s="79"/>
      <c r="J20"/>
      <c r="K20" s="269"/>
      <c r="L20" s="191">
        <f>IF(R20=TRUE,$H20,0)</f>
        <v>50</v>
      </c>
      <c r="M20" s="652"/>
      <c r="N20" s="672">
        <f>IF(U20=TRUE,$H20,0)</f>
        <v>50</v>
      </c>
      <c r="O20" s="269"/>
      <c r="P20" s="192">
        <f>IF(X20=TRUE,$H20,0)</f>
        <v>50</v>
      </c>
      <c r="Q20" s="436"/>
      <c r="R20" s="468" t="b">
        <v>1</v>
      </c>
      <c r="S20" s="436"/>
      <c r="T20" s="436"/>
      <c r="U20" s="468" t="b">
        <v>1</v>
      </c>
      <c r="V20" s="436"/>
      <c r="W20" s="436"/>
      <c r="X20" s="468" t="b">
        <v>1</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v>18</v>
      </c>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v>30</v>
      </c>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v>3</v>
      </c>
      <c r="C23" s="52"/>
      <c r="D23" s="190" t="str">
        <f>IF($B23=0,0,VLOOKUP($B23,Prämien!$C$8:$M$45,2))</f>
        <v>FAKT (A 1.2) mind. 5 gliedrige FF (Ökokombi)</v>
      </c>
      <c r="E23" s="53"/>
      <c r="F23" s="53"/>
      <c r="G23" s="53"/>
      <c r="H23" s="190">
        <f>IF($B23=0,0,VLOOKUP($B23,Prämien!$C$8:$M$45,11))</f>
        <v>50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0</v>
      </c>
      <c r="M27" s="669"/>
      <c r="N27" s="651">
        <f>SUM(N29:N30)</f>
        <v>0</v>
      </c>
      <c r="O27" s="272"/>
      <c r="P27" s="267">
        <f>SUM(P29:P30)</f>
        <v>0</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c r="I29" s="586">
        <f>H29*($H$27+100)/100</f>
        <v>0</v>
      </c>
      <c r="J29" s="90"/>
      <c r="K29" s="382"/>
      <c r="L29" s="279">
        <f>$I29*K29</f>
        <v>0</v>
      </c>
      <c r="M29" s="382"/>
      <c r="N29" s="656">
        <f>$I29*M29</f>
        <v>0</v>
      </c>
      <c r="O29" s="382"/>
      <c r="P29" s="279">
        <f>$I29*O29</f>
        <v>0</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7"/>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Güllerücklieferung)"</f>
        <v>Düngung (abzgl.0%= 0€ Güllerücklieferung)</v>
      </c>
      <c r="D31" s="109"/>
      <c r="E31" s="109"/>
      <c r="F31" s="98"/>
      <c r="G31" s="8"/>
      <c r="H31" s="8"/>
      <c r="I31" s="8"/>
      <c r="J31" s="301" t="s">
        <v>154</v>
      </c>
      <c r="K31" s="276"/>
      <c r="L31" s="2028">
        <f>SUM(L33:L36)-L17</f>
        <v>0</v>
      </c>
      <c r="M31" s="683"/>
      <c r="N31" s="651">
        <f>SUM(N33:N36)-N17</f>
        <v>0</v>
      </c>
      <c r="O31" s="276"/>
      <c r="P31" s="267">
        <f>SUM(P33:P36)-P17</f>
        <v>0</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1209</v>
      </c>
      <c r="H32" s="326" t="s">
        <v>1208</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c r="C33" s="103"/>
      <c r="D33" s="104" t="s">
        <v>206</v>
      </c>
      <c r="E33" s="330">
        <f>IF(Preise!$S$23=TRUE,Preise!M14,0)</f>
        <v>3.57</v>
      </c>
      <c r="F33"/>
      <c r="G33" s="320"/>
      <c r="H33" s="327"/>
      <c r="I33"/>
      <c r="J33" s="163"/>
      <c r="K33" s="278">
        <f>G33*$K$9+H33</f>
        <v>0</v>
      </c>
      <c r="L33" s="279">
        <f>K33*$E33</f>
        <v>0</v>
      </c>
      <c r="M33" s="684">
        <f>G33*$M$9+H33</f>
        <v>0</v>
      </c>
      <c r="N33" s="656">
        <f>M33*$E33</f>
        <v>0</v>
      </c>
      <c r="O33" s="278">
        <f>G33*$O$9+H33</f>
        <v>0</v>
      </c>
      <c r="P33" s="279">
        <f>O33*$E33</f>
        <v>0</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c r="H34" s="327"/>
      <c r="I34"/>
      <c r="J34" s="163"/>
      <c r="K34" s="278">
        <f>G34*$K$9+H34</f>
        <v>0</v>
      </c>
      <c r="L34" s="279">
        <f>K34*$E34</f>
        <v>0</v>
      </c>
      <c r="M34" s="684">
        <f>G34*$M$9+H34</f>
        <v>0</v>
      </c>
      <c r="N34" s="656">
        <f>M34*$E34</f>
        <v>0</v>
      </c>
      <c r="O34" s="278">
        <f>G34*$O$9+H34</f>
        <v>0</v>
      </c>
      <c r="P34" s="279">
        <f>O34*$E34</f>
        <v>0</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c r="H35" s="327"/>
      <c r="I35"/>
      <c r="J35" s="163"/>
      <c r="K35" s="278">
        <f>G35*$K$9+H35</f>
        <v>0</v>
      </c>
      <c r="L35" s="279">
        <f>K35*$E35</f>
        <v>0</v>
      </c>
      <c r="M35" s="684">
        <f>G35*$M$9+H35</f>
        <v>0</v>
      </c>
      <c r="N35" s="656">
        <f>M35*$E35</f>
        <v>0</v>
      </c>
      <c r="O35" s="278">
        <f>G35*$O$9+H35</f>
        <v>0</v>
      </c>
      <c r="P35" s="279">
        <f>O35*$E35</f>
        <v>0</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f>$I41*K41</f>
        <v>0</v>
      </c>
      <c r="M41" s="157"/>
      <c r="N41" s="657">
        <f>$I41*M41</f>
        <v>0</v>
      </c>
      <c r="O41" s="157"/>
      <c r="P41" s="275">
        <f>$I41*O41</f>
        <v>0</v>
      </c>
      <c r="Q41"/>
      <c r="R41"/>
      <c r="S41"/>
      <c r="T41"/>
      <c r="U41"/>
      <c r="V41"/>
      <c r="W41"/>
      <c r="X41"/>
      <c r="Y41"/>
      <c r="Z41"/>
      <c r="AA41"/>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f>SUM(L45:L55)</f>
        <v>0</v>
      </c>
      <c r="M42" s="687"/>
      <c r="N42" s="651">
        <f>SUM(N45:N55)</f>
        <v>0</v>
      </c>
      <c r="O42" s="367"/>
      <c r="P42" s="267">
        <f>SUM(P45:P55)</f>
        <v>0</v>
      </c>
      <c r="Q42"/>
      <c r="R42"/>
      <c r="S42"/>
      <c r="T42"/>
      <c r="U42"/>
      <c r="V42"/>
      <c r="W42"/>
      <c r="X42"/>
      <c r="Y42"/>
      <c r="Z42"/>
      <c r="AA42"/>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2696" t="s">
        <v>947</v>
      </c>
      <c r="J43" s="598"/>
      <c r="K43" s="2691" t="s">
        <v>949</v>
      </c>
      <c r="L43" s="2697" t="s">
        <v>948</v>
      </c>
      <c r="M43" s="2693" t="s">
        <v>949</v>
      </c>
      <c r="N43" s="2698" t="s">
        <v>948</v>
      </c>
      <c r="O43" s="2691" t="s">
        <v>949</v>
      </c>
      <c r="P43" s="2697" t="s">
        <v>948</v>
      </c>
      <c r="Q43"/>
      <c r="R43"/>
      <c r="S43"/>
      <c r="T43"/>
      <c r="U43"/>
      <c r="V43"/>
      <c r="W43"/>
      <c r="X43"/>
      <c r="Y43"/>
      <c r="Z43"/>
      <c r="AA43"/>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2695" t="s">
        <v>946</v>
      </c>
      <c r="J44" s="2695" t="s">
        <v>83</v>
      </c>
      <c r="K44" s="2692" t="s">
        <v>945</v>
      </c>
      <c r="L44" s="277" t="s">
        <v>154</v>
      </c>
      <c r="M44" s="2694" t="s">
        <v>945</v>
      </c>
      <c r="N44" s="655" t="s">
        <v>154</v>
      </c>
      <c r="O44" s="2692" t="s">
        <v>945</v>
      </c>
      <c r="P44" s="277" t="s">
        <v>154</v>
      </c>
      <c r="Q44"/>
      <c r="R44"/>
      <c r="S44"/>
      <c r="T44"/>
      <c r="U44"/>
      <c r="V44"/>
      <c r="W44"/>
      <c r="X44"/>
      <c r="Y44"/>
      <c r="Z44"/>
      <c r="AA44"/>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c r="C45" s="103"/>
      <c r="D45" s="132"/>
      <c r="E45" s="8"/>
      <c r="F45" s="8"/>
      <c r="G45" s="607"/>
      <c r="H45" s="602">
        <f>IF($B45=0,0,VLOOKUP($B45,Arbeitsgänge!$B$26:$T$79,6))</f>
        <v>0</v>
      </c>
      <c r="I45" s="603">
        <f>IF($B45=0,0,VLOOKUP($B45,Arbeitsgänge!$B$26:$T$79,11))</f>
        <v>0</v>
      </c>
      <c r="J45" s="401">
        <f>IF($B45=0,0,VLOOKUP($B45,Arbeitsgänge!$B$26:$T$79,12))</f>
        <v>0</v>
      </c>
      <c r="K45" s="315"/>
      <c r="L45" s="279">
        <f>K45*$J45</f>
        <v>0</v>
      </c>
      <c r="M45" s="315"/>
      <c r="N45" s="656"/>
      <c r="O45" s="315"/>
      <c r="P45" s="279">
        <f>O45*$J45</f>
        <v>0</v>
      </c>
      <c r="Q45"/>
      <c r="R45"/>
      <c r="S45"/>
      <c r="T45"/>
      <c r="U45"/>
      <c r="V45"/>
      <c r="W45"/>
      <c r="X45"/>
      <c r="Y45"/>
      <c r="Z45"/>
      <c r="AA45"/>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c r="C46" s="103"/>
      <c r="D46" s="132"/>
      <c r="E46" s="8"/>
      <c r="F46" s="8"/>
      <c r="G46" s="607"/>
      <c r="H46" s="602">
        <f>IF($B46=0,0,VLOOKUP($B46,Arbeitsgänge!$B$26:$T$79,6))</f>
        <v>0</v>
      </c>
      <c r="I46" s="603">
        <f>IF($B46=0,0,VLOOKUP($B46,Arbeitsgänge!$B$26:$T$79,11))</f>
        <v>0</v>
      </c>
      <c r="J46" s="401">
        <f>IF($B46=0,0,VLOOKUP($B46,Arbeitsgänge!$B$26:$T$79,12))</f>
        <v>0</v>
      </c>
      <c r="K46" s="316"/>
      <c r="L46" s="279">
        <f t="shared" ref="L46:P55" si="0">K46*$J46</f>
        <v>0</v>
      </c>
      <c r="M46" s="316"/>
      <c r="N46" s="656">
        <f t="shared" si="0"/>
        <v>0</v>
      </c>
      <c r="O46" s="316"/>
      <c r="P46" s="279">
        <f t="shared" si="0"/>
        <v>0</v>
      </c>
      <c r="Q46"/>
      <c r="R46"/>
      <c r="S46"/>
      <c r="T46"/>
      <c r="U46"/>
      <c r="V46"/>
      <c r="W46"/>
      <c r="X46"/>
      <c r="Y46"/>
      <c r="Z46"/>
      <c r="AA4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c r="C47" s="103"/>
      <c r="D47" s="132"/>
      <c r="E47" s="8"/>
      <c r="F47" s="8"/>
      <c r="G47" s="607"/>
      <c r="H47" s="602">
        <f>IF($B47=0,0,VLOOKUP($B47,Arbeitsgänge!$B$26:$T$79,6))</f>
        <v>0</v>
      </c>
      <c r="I47" s="603">
        <f>IF($B47=0,0,VLOOKUP($B47,Arbeitsgänge!$B$26:$T$79,11))</f>
        <v>0</v>
      </c>
      <c r="J47" s="401">
        <f>IF($B47=0,0,VLOOKUP($B47,Arbeitsgänge!$B$26:$T$79,12))</f>
        <v>0</v>
      </c>
      <c r="K47" s="316"/>
      <c r="L47" s="279">
        <f t="shared" si="0"/>
        <v>0</v>
      </c>
      <c r="M47" s="316"/>
      <c r="N47" s="656">
        <f t="shared" si="0"/>
        <v>0</v>
      </c>
      <c r="O47" s="316"/>
      <c r="P47" s="279">
        <f t="shared" si="0"/>
        <v>0</v>
      </c>
      <c r="Q47"/>
      <c r="R47"/>
      <c r="S47"/>
      <c r="T47"/>
      <c r="U47"/>
      <c r="V47"/>
      <c r="W47"/>
      <c r="X47"/>
      <c r="Y47"/>
      <c r="Z47"/>
      <c r="AA47"/>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c r="C48" s="103"/>
      <c r="D48" s="132"/>
      <c r="E48" s="8"/>
      <c r="F48" s="8"/>
      <c r="G48" s="607"/>
      <c r="H48" s="602">
        <f>IF($B48=0,0,VLOOKUP($B48,Arbeitsgänge!$B$26:$T$79,6))</f>
        <v>0</v>
      </c>
      <c r="I48" s="603">
        <f>IF($B48=0,0,VLOOKUP($B48,Arbeitsgänge!$B$26:$T$79,11))</f>
        <v>0</v>
      </c>
      <c r="J48" s="401">
        <f>IF($B48=0,0,VLOOKUP($B48,Arbeitsgänge!$B$26:$T$79,12))</f>
        <v>0</v>
      </c>
      <c r="K48" s="316"/>
      <c r="L48" s="279">
        <f t="shared" si="0"/>
        <v>0</v>
      </c>
      <c r="M48" s="316"/>
      <c r="N48" s="656">
        <f t="shared" si="0"/>
        <v>0</v>
      </c>
      <c r="O48" s="316"/>
      <c r="P48" s="279">
        <f t="shared" si="0"/>
        <v>0</v>
      </c>
      <c r="Q48"/>
      <c r="R48"/>
      <c r="S48"/>
      <c r="T48"/>
      <c r="U48"/>
      <c r="V48"/>
      <c r="W48"/>
      <c r="X48"/>
      <c r="Y48"/>
      <c r="Z48"/>
      <c r="AA48"/>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c r="C49" s="103"/>
      <c r="D49" s="132"/>
      <c r="E49" s="8"/>
      <c r="F49" s="8"/>
      <c r="G49" s="607"/>
      <c r="H49" s="602">
        <f>IF($B49=0,0,VLOOKUP($B49,Arbeitsgänge!$B$26:$T$79,6))</f>
        <v>0</v>
      </c>
      <c r="I49" s="603">
        <f>IF($B49=0,0,VLOOKUP($B49,Arbeitsgänge!$B$26:$T$79,11))</f>
        <v>0</v>
      </c>
      <c r="J49" s="401">
        <f>IF($B49=0,0,VLOOKUP($B49,Arbeitsgänge!$B$26:$T$79,12))</f>
        <v>0</v>
      </c>
      <c r="K49" s="316"/>
      <c r="L49" s="279"/>
      <c r="M49" s="316"/>
      <c r="N49" s="656"/>
      <c r="O49" s="316"/>
      <c r="P49" s="279">
        <f t="shared" si="0"/>
        <v>0</v>
      </c>
      <c r="Q49"/>
      <c r="R49"/>
      <c r="S49"/>
      <c r="T49"/>
      <c r="U49"/>
      <c r="V49"/>
      <c r="W49"/>
      <c r="X49"/>
      <c r="Y49"/>
      <c r="Z49"/>
      <c r="AA49"/>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c r="C50" s="103"/>
      <c r="D50" s="132"/>
      <c r="E50" s="8"/>
      <c r="F50" s="8"/>
      <c r="G50" s="607"/>
      <c r="H50" s="602">
        <f>IF($B50=0,0,VLOOKUP($B50,Arbeitsgänge!$B$26:$T$79,6))</f>
        <v>0</v>
      </c>
      <c r="I50" s="603">
        <f>IF($B50=0,0,VLOOKUP($B50,Arbeitsgänge!$B$26:$T$79,11))</f>
        <v>0</v>
      </c>
      <c r="J50" s="401">
        <f>IF($B50=0,0,VLOOKUP($B50,Arbeitsgänge!$B$26:$T$79,12))</f>
        <v>0</v>
      </c>
      <c r="K50" s="316"/>
      <c r="L50" s="279">
        <f t="shared" si="0"/>
        <v>0</v>
      </c>
      <c r="M50" s="316"/>
      <c r="N50" s="656">
        <f t="shared" si="0"/>
        <v>0</v>
      </c>
      <c r="O50" s="316"/>
      <c r="P50" s="279">
        <f t="shared" si="0"/>
        <v>0</v>
      </c>
      <c r="Q50"/>
      <c r="R50"/>
      <c r="S50"/>
      <c r="T50"/>
      <c r="U50"/>
      <c r="V50"/>
      <c r="W50"/>
      <c r="X50"/>
      <c r="Y50"/>
      <c r="Z50"/>
      <c r="AA50"/>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c r="C51" s="103"/>
      <c r="D51" s="132"/>
      <c r="E51" s="8"/>
      <c r="F51" s="8"/>
      <c r="G51" s="607"/>
      <c r="H51" s="602">
        <f>IF($B51=0,0,VLOOKUP($B51,Arbeitsgänge!$B$26:$T$79,6))</f>
        <v>0</v>
      </c>
      <c r="I51" s="603">
        <f>IF($B51=0,0,VLOOKUP($B51,Arbeitsgänge!$B$26:$T$79,11))</f>
        <v>0</v>
      </c>
      <c r="J51" s="401">
        <f>IF($B51=0,0,VLOOKUP($B51,Arbeitsgänge!$B$26:$T$79,12))</f>
        <v>0</v>
      </c>
      <c r="K51" s="316"/>
      <c r="L51" s="279">
        <f t="shared" si="0"/>
        <v>0</v>
      </c>
      <c r="M51" s="316"/>
      <c r="N51" s="656">
        <f t="shared" si="0"/>
        <v>0</v>
      </c>
      <c r="O51" s="316"/>
      <c r="P51" s="279">
        <f t="shared" si="0"/>
        <v>0</v>
      </c>
      <c r="Q51"/>
      <c r="R51"/>
      <c r="S51"/>
      <c r="T51"/>
      <c r="U51"/>
      <c r="V51"/>
      <c r="W51"/>
      <c r="X51"/>
      <c r="Y51"/>
      <c r="Z51"/>
      <c r="AA51"/>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c r="C52" s="103"/>
      <c r="D52" s="132"/>
      <c r="E52" s="8"/>
      <c r="F52" s="8"/>
      <c r="G52" s="607"/>
      <c r="H52" s="602">
        <f>IF($B52=0,0,VLOOKUP($B52,Arbeitsgänge!$B$26:$T$79,6))</f>
        <v>0</v>
      </c>
      <c r="I52" s="603">
        <f>IF($B52=0,0,VLOOKUP($B52,Arbeitsgänge!$B$26:$T$79,11))</f>
        <v>0</v>
      </c>
      <c r="J52" s="401">
        <f>IF($B52=0,0,VLOOKUP($B52,Arbeitsgänge!$B$26:$T$79,12))</f>
        <v>0</v>
      </c>
      <c r="K52" s="316"/>
      <c r="L52" s="279">
        <f t="shared" si="0"/>
        <v>0</v>
      </c>
      <c r="M52" s="316"/>
      <c r="N52" s="656">
        <f t="shared" si="0"/>
        <v>0</v>
      </c>
      <c r="O52" s="316"/>
      <c r="P52" s="279">
        <f t="shared" si="0"/>
        <v>0</v>
      </c>
      <c r="Q52"/>
      <c r="R52"/>
      <c r="S52"/>
      <c r="T52"/>
      <c r="U52"/>
      <c r="V52"/>
      <c r="W52"/>
      <c r="X52"/>
      <c r="Y52"/>
      <c r="Z52"/>
      <c r="AA52"/>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c r="C53" s="103"/>
      <c r="D53" s="132"/>
      <c r="E53" s="8"/>
      <c r="F53" s="8"/>
      <c r="G53" s="607"/>
      <c r="H53" s="602">
        <f>IF($B53=0,0,VLOOKUP($B53,Arbeitsgänge!$B$26:$T$79,6))</f>
        <v>0</v>
      </c>
      <c r="I53" s="603">
        <f>IF($B53=0,0,VLOOKUP($B53,Arbeitsgänge!$B$26:$T$79,11))</f>
        <v>0</v>
      </c>
      <c r="J53" s="401">
        <f>IF($B53=0,0,VLOOKUP($B53,Arbeitsgänge!$B$26:$T$79,12))</f>
        <v>0</v>
      </c>
      <c r="K53" s="316"/>
      <c r="L53" s="279">
        <f t="shared" si="0"/>
        <v>0</v>
      </c>
      <c r="M53" s="316"/>
      <c r="N53" s="656">
        <f t="shared" si="0"/>
        <v>0</v>
      </c>
      <c r="O53" s="316"/>
      <c r="P53" s="279">
        <f t="shared" si="0"/>
        <v>0</v>
      </c>
      <c r="Q53"/>
      <c r="R53"/>
      <c r="S53"/>
      <c r="T53"/>
      <c r="U53"/>
      <c r="V53"/>
      <c r="W53"/>
      <c r="X53"/>
      <c r="Y53"/>
      <c r="Z53"/>
      <c r="AA53"/>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c r="C54" s="103"/>
      <c r="D54" s="132"/>
      <c r="E54" s="8"/>
      <c r="F54" s="8"/>
      <c r="G54" s="607"/>
      <c r="H54" s="602">
        <f>IF($B54=0,0,VLOOKUP($B54,Arbeitsgänge!$B$26:$T$79,6))</f>
        <v>0</v>
      </c>
      <c r="I54" s="603">
        <f>IF($B54=0,0,VLOOKUP($B54,Arbeitsgänge!$B$26:$T$79,11))</f>
        <v>0</v>
      </c>
      <c r="J54" s="401">
        <f>IF($B54=0,0,VLOOKUP($B54,Arbeitsgänge!$B$26:$T$79,12))</f>
        <v>0</v>
      </c>
      <c r="K54" s="316"/>
      <c r="L54" s="279">
        <f t="shared" si="0"/>
        <v>0</v>
      </c>
      <c r="M54" s="318"/>
      <c r="N54" s="656">
        <f t="shared" si="0"/>
        <v>0</v>
      </c>
      <c r="O54" s="318"/>
      <c r="P54" s="279">
        <f t="shared" si="0"/>
        <v>0</v>
      </c>
      <c r="Q54"/>
      <c r="R54"/>
      <c r="S54"/>
      <c r="T54"/>
      <c r="U54"/>
      <c r="V54"/>
      <c r="W54"/>
      <c r="X54"/>
      <c r="Y54"/>
      <c r="Z54"/>
      <c r="AA54"/>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c r="C55" s="103"/>
      <c r="D55" s="133"/>
      <c r="E55" s="84"/>
      <c r="F55" s="84"/>
      <c r="G55" s="608"/>
      <c r="H55" s="604">
        <f>IF($B55=0,0,VLOOKUP($B55,Arbeitsgänge!$B$26:$T$79,6))</f>
        <v>0</v>
      </c>
      <c r="I55" s="604">
        <f>IF($B55=0,0,VLOOKUP($B55,Arbeitsgänge!$B$26:$T$79,11))</f>
        <v>0</v>
      </c>
      <c r="J55" s="1430">
        <f>IF($B55=0,0,VLOOKUP($B55,Arbeitsgänge!$B$26:$T$79,12))</f>
        <v>0</v>
      </c>
      <c r="K55" s="317"/>
      <c r="L55" s="313">
        <f t="shared" si="0"/>
        <v>0</v>
      </c>
      <c r="M55" s="319"/>
      <c r="N55" s="661">
        <f t="shared" si="0"/>
        <v>0</v>
      </c>
      <c r="O55" s="319"/>
      <c r="P55" s="313">
        <f t="shared" si="0"/>
        <v>0</v>
      </c>
      <c r="Q55"/>
      <c r="R55"/>
      <c r="S55"/>
      <c r="T55"/>
      <c r="U55"/>
      <c r="V55"/>
      <c r="W55"/>
      <c r="X55"/>
      <c r="Y55"/>
      <c r="Z55"/>
      <c r="AA55"/>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2106" t="s">
        <v>1108</v>
      </c>
      <c r="E56" s="136"/>
      <c r="F56" s="136"/>
      <c r="G56" s="136"/>
      <c r="H56" s="8"/>
      <c r="I56" s="8"/>
      <c r="J56" s="302" t="s">
        <v>161</v>
      </c>
      <c r="K56" s="282">
        <f>SUMPRODUCT(K45:K55,I45:I55)</f>
        <v>0</v>
      </c>
      <c r="L56" s="283"/>
      <c r="M56" s="662">
        <f>SUMPRODUCT(M45:M55,I45:I55)</f>
        <v>0</v>
      </c>
      <c r="N56" s="663"/>
      <c r="O56" s="282">
        <f>SUMPRODUCT(O45:O55,I45:I55)</f>
        <v>0</v>
      </c>
      <c r="P56" s="283"/>
      <c r="Q56"/>
      <c r="R56"/>
      <c r="S56"/>
      <c r="T56"/>
      <c r="U56"/>
      <c r="V56"/>
      <c r="W56"/>
      <c r="X56"/>
      <c r="Y56"/>
      <c r="Z56"/>
      <c r="AA56"/>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80</v>
      </c>
      <c r="H57" s="74" t="s">
        <v>487</v>
      </c>
      <c r="I57" s="74"/>
      <c r="J57" s="88"/>
      <c r="K57" s="284">
        <f>IF($G$57%*K56&gt;=10,10+K56,K56*(1+$G$57%))</f>
        <v>0</v>
      </c>
      <c r="L57" s="285"/>
      <c r="M57" s="664">
        <f>IF($G$57%*M56&gt;=10,10+M56,M56*(1+$G$57%))</f>
        <v>0</v>
      </c>
      <c r="N57" s="665"/>
      <c r="O57" s="284">
        <f>IF($G$57%*O56&gt;=10,10+O56,O56*(1+$G$57%))</f>
        <v>0</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v>0</v>
      </c>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2790"/>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2102">
        <f>K15*0.2</f>
        <v>0</v>
      </c>
      <c r="L66" s="290"/>
      <c r="M66" s="2102">
        <f>M15*0.2</f>
        <v>0</v>
      </c>
      <c r="N66" s="654"/>
      <c r="O66" s="2102">
        <f>O15*0.2</f>
        <v>0</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2811"/>
      <c r="B67" s="2812"/>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2813"/>
      <c r="B68" s="2814"/>
      <c r="C68" s="103"/>
      <c r="D68" s="2815"/>
      <c r="E68" s="2809"/>
      <c r="F68" s="2809"/>
      <c r="G68" s="2809"/>
      <c r="H68" s="1102"/>
      <c r="I68" s="2036"/>
      <c r="J68" s="141"/>
      <c r="K68" s="969"/>
      <c r="L68" s="2253">
        <f>$I$68</f>
        <v>0</v>
      </c>
      <c r="M68" s="969"/>
      <c r="N68" s="2254">
        <f>$I$68</f>
        <v>0</v>
      </c>
      <c r="O68" s="969"/>
      <c r="P68" s="2253">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2810"/>
      <c r="E69" s="2810"/>
      <c r="F69" s="2810"/>
      <c r="G69" s="2810"/>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2808" t="s">
        <v>295</v>
      </c>
      <c r="E70" s="2808"/>
      <c r="F70" s="74"/>
      <c r="G70" s="74"/>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1" spans="1:79" ht="14.95" x14ac:dyDescent="0.2">
      <c r="C71" s="1417"/>
    </row>
    <row r="73" spans="1:79" x14ac:dyDescent="0.2">
      <c r="P73"/>
    </row>
  </sheetData>
  <sheetProtection sheet="1" objects="1" scenarios="1"/>
  <customSheetViews>
    <customSheetView guid="{32760361-675F-4FBF-A5CA-B0597C10371F}" scale="90" showGridLines="0" zeroValues="0" fitToPage="1">
      <pane xSplit="10" ySplit="5" topLeftCell="K15" activePane="bottomRight" state="frozen"/>
      <selection pane="bottomRight" activeCell="I35" sqref="I35"/>
      <pageMargins left="0.51181102362204722" right="0.47244094488188981" top="0.55118110236220474" bottom="0.9055118110236221" header="0.51181102362204722" footer="0.31496062992125984"/>
      <printOptions horizontalCentered="1" verticalCentered="1"/>
      <pageSetup paperSize="9" scale="68" firstPageNumber="15" orientation="portrait" useFirstPageNumber="1" horizontalDpi="300" verticalDpi="300" r:id="rId1"/>
      <headerFooter alignWithMargins="0">
        <oddFooter>&amp;L&amp;12LEL Schwäbisch Gmünd (Abtlg. II)
LAZBW Aulendorf&amp;C&amp;12 58&amp;9
&amp;R&amp;12&amp;F
&amp;A</oddFooter>
      </headerFooter>
    </customSheetView>
  </customSheetViews>
  <mergeCells count="3">
    <mergeCell ref="B1:F1"/>
    <mergeCell ref="M2:P2"/>
    <mergeCell ref="H3:P3"/>
  </mergeCells>
  <hyperlinks>
    <hyperlink ref="B1:F1" location="Inhalt!A1:A10" display="zurück zum Inhaltsverzeichnis"/>
  </hyperlinks>
  <printOptions horizontalCentered="1" verticalCentered="1"/>
  <pageMargins left="0.51181102362204722" right="0.47244094488188981" top="0.55118110236220474" bottom="0.9055118110236221"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58&amp;9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67809"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167810"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167811"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167812"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167813"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167814"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167815"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167816"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167817"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167818"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167819"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167820"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167821"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167822"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167823"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167824"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167825"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167826" r:id="rId22" name="Drop Down 18">
              <controlPr defaultSize="0" autoLine="0" autoPict="0">
                <anchor moveWithCells="1">
                  <from>
                    <xdr:col>3</xdr:col>
                    <xdr:colOff>0</xdr:colOff>
                    <xdr:row>45</xdr:row>
                    <xdr:rowOff>181155</xdr:rowOff>
                  </from>
                  <to>
                    <xdr:col>7</xdr:col>
                    <xdr:colOff>69011</xdr:colOff>
                    <xdr:row>47</xdr:row>
                    <xdr:rowOff>0</xdr:rowOff>
                  </to>
                </anchor>
              </controlPr>
            </control>
          </mc:Choice>
        </mc:AlternateContent>
        <mc:AlternateContent xmlns:mc="http://schemas.openxmlformats.org/markup-compatibility/2006">
          <mc:Choice Requires="x14">
            <control shapeId="2167827" r:id="rId23" name="Drop Down 19">
              <controlPr defaultSize="0" autoLine="0" autoPict="0">
                <anchor moveWithCells="1">
                  <from>
                    <xdr:col>3</xdr:col>
                    <xdr:colOff>0</xdr:colOff>
                    <xdr:row>46</xdr:row>
                    <xdr:rowOff>181155</xdr:rowOff>
                  </from>
                  <to>
                    <xdr:col>7</xdr:col>
                    <xdr:colOff>69011</xdr:colOff>
                    <xdr:row>48</xdr:row>
                    <xdr:rowOff>0</xdr:rowOff>
                  </to>
                </anchor>
              </controlPr>
            </control>
          </mc:Choice>
        </mc:AlternateContent>
        <mc:AlternateContent xmlns:mc="http://schemas.openxmlformats.org/markup-compatibility/2006">
          <mc:Choice Requires="x14">
            <control shapeId="2167828" r:id="rId24" name="Drop Down 20">
              <controlPr defaultSize="0" autoLine="0" autoPict="0">
                <anchor moveWithCells="1">
                  <from>
                    <xdr:col>3</xdr:col>
                    <xdr:colOff>0</xdr:colOff>
                    <xdr:row>47</xdr:row>
                    <xdr:rowOff>181155</xdr:rowOff>
                  </from>
                  <to>
                    <xdr:col>7</xdr:col>
                    <xdr:colOff>69011</xdr:colOff>
                    <xdr:row>49</xdr:row>
                    <xdr:rowOff>0</xdr:rowOff>
                  </to>
                </anchor>
              </controlPr>
            </control>
          </mc:Choice>
        </mc:AlternateContent>
        <mc:AlternateContent xmlns:mc="http://schemas.openxmlformats.org/markup-compatibility/2006">
          <mc:Choice Requires="x14">
            <control shapeId="2167829" r:id="rId25" name="Drop Down 21">
              <controlPr defaultSize="0" autoLine="0" autoPict="0">
                <anchor moveWithCells="1">
                  <from>
                    <xdr:col>3</xdr:col>
                    <xdr:colOff>0</xdr:colOff>
                    <xdr:row>48</xdr:row>
                    <xdr:rowOff>155275</xdr:rowOff>
                  </from>
                  <to>
                    <xdr:col>7</xdr:col>
                    <xdr:colOff>69011</xdr:colOff>
                    <xdr:row>49</xdr:row>
                    <xdr:rowOff>172528</xdr:rowOff>
                  </to>
                </anchor>
              </controlPr>
            </control>
          </mc:Choice>
        </mc:AlternateContent>
        <mc:AlternateContent xmlns:mc="http://schemas.openxmlformats.org/markup-compatibility/2006">
          <mc:Choice Requires="x14">
            <control shapeId="2167830" r:id="rId26" name="Drop Down 22">
              <controlPr defaultSize="0" autoLine="0" autoPict="0">
                <anchor moveWithCells="1">
                  <from>
                    <xdr:col>3</xdr:col>
                    <xdr:colOff>0</xdr:colOff>
                    <xdr:row>49</xdr:row>
                    <xdr:rowOff>172528</xdr:rowOff>
                  </from>
                  <to>
                    <xdr:col>7</xdr:col>
                    <xdr:colOff>69011</xdr:colOff>
                    <xdr:row>51</xdr:row>
                    <xdr:rowOff>0</xdr:rowOff>
                  </to>
                </anchor>
              </controlPr>
            </control>
          </mc:Choice>
        </mc:AlternateContent>
        <mc:AlternateContent xmlns:mc="http://schemas.openxmlformats.org/markup-compatibility/2006">
          <mc:Choice Requires="x14">
            <control shapeId="2167831" r:id="rId27" name="Drop Down 23">
              <controlPr defaultSize="0" autoLine="0" autoPict="0">
                <anchor moveWithCells="1">
                  <from>
                    <xdr:col>3</xdr:col>
                    <xdr:colOff>0</xdr:colOff>
                    <xdr:row>50</xdr:row>
                    <xdr:rowOff>155275</xdr:rowOff>
                  </from>
                  <to>
                    <xdr:col>7</xdr:col>
                    <xdr:colOff>69011</xdr:colOff>
                    <xdr:row>51</xdr:row>
                    <xdr:rowOff>172528</xdr:rowOff>
                  </to>
                </anchor>
              </controlPr>
            </control>
          </mc:Choice>
        </mc:AlternateContent>
        <mc:AlternateContent xmlns:mc="http://schemas.openxmlformats.org/markup-compatibility/2006">
          <mc:Choice Requires="x14">
            <control shapeId="2167832"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167833"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167834"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mc:AlternateContent xmlns:mc="http://schemas.openxmlformats.org/markup-compatibility/2006">
          <mc:Choice Requires="x14">
            <control shapeId="2167835" r:id="rId31" name="Drop Down 27">
              <controlPr defaultSize="0" autoLine="0" autoPict="0">
                <anchor moveWithCells="1">
                  <from>
                    <xdr:col>3</xdr:col>
                    <xdr:colOff>0</xdr:colOff>
                    <xdr:row>18</xdr:row>
                    <xdr:rowOff>0</xdr:rowOff>
                  </from>
                  <to>
                    <xdr:col>7</xdr:col>
                    <xdr:colOff>69011</xdr:colOff>
                    <xdr:row>19</xdr:row>
                    <xdr:rowOff>0</xdr:rowOff>
                  </to>
                </anchor>
              </controlPr>
            </control>
          </mc:Choice>
        </mc:AlternateContent>
        <mc:AlternateContent xmlns:mc="http://schemas.openxmlformats.org/markup-compatibility/2006">
          <mc:Choice Requires="x14">
            <control shapeId="2167836" r:id="rId32" name="Drop Down 28">
              <controlPr defaultSize="0" autoLine="0" autoPict="0">
                <anchor moveWithCells="1">
                  <from>
                    <xdr:col>3</xdr:col>
                    <xdr:colOff>0</xdr:colOff>
                    <xdr:row>19</xdr:row>
                    <xdr:rowOff>0</xdr:rowOff>
                  </from>
                  <to>
                    <xdr:col>7</xdr:col>
                    <xdr:colOff>69011</xdr:colOff>
                    <xdr:row>20</xdr:row>
                    <xdr:rowOff>0</xdr:rowOff>
                  </to>
                </anchor>
              </controlPr>
            </control>
          </mc:Choice>
        </mc:AlternateContent>
        <mc:AlternateContent xmlns:mc="http://schemas.openxmlformats.org/markup-compatibility/2006">
          <mc:Choice Requires="x14">
            <control shapeId="2167837" r:id="rId33" name="Drop Down 29">
              <controlPr defaultSize="0" autoLine="0" autoPict="0">
                <anchor moveWithCells="1">
                  <from>
                    <xdr:col>3</xdr:col>
                    <xdr:colOff>0</xdr:colOff>
                    <xdr:row>20</xdr:row>
                    <xdr:rowOff>0</xdr:rowOff>
                  </from>
                  <to>
                    <xdr:col>7</xdr:col>
                    <xdr:colOff>69011</xdr:colOff>
                    <xdr:row>21</xdr:row>
                    <xdr:rowOff>0</xdr:rowOff>
                  </to>
                </anchor>
              </controlPr>
            </control>
          </mc:Choice>
        </mc:AlternateContent>
        <mc:AlternateContent xmlns:mc="http://schemas.openxmlformats.org/markup-compatibility/2006">
          <mc:Choice Requires="x14">
            <control shapeId="2167838" r:id="rId34" name="Drop Down 30">
              <controlPr defaultSize="0" autoLine="0" autoPict="0">
                <anchor moveWithCells="1">
                  <from>
                    <xdr:col>3</xdr:col>
                    <xdr:colOff>0</xdr:colOff>
                    <xdr:row>21</xdr:row>
                    <xdr:rowOff>0</xdr:rowOff>
                  </from>
                  <to>
                    <xdr:col>7</xdr:col>
                    <xdr:colOff>69011</xdr:colOff>
                    <xdr:row>22</xdr:row>
                    <xdr:rowOff>0</xdr:rowOff>
                  </to>
                </anchor>
              </controlPr>
            </control>
          </mc:Choice>
        </mc:AlternateContent>
        <mc:AlternateContent xmlns:mc="http://schemas.openxmlformats.org/markup-compatibility/2006">
          <mc:Choice Requires="x14">
            <control shapeId="2167839" r:id="rId35" name="Drop Down 31">
              <controlPr defaultSize="0" autoLine="0" autoPict="0">
                <anchor moveWithCells="1">
                  <from>
                    <xdr:col>3</xdr:col>
                    <xdr:colOff>0</xdr:colOff>
                    <xdr:row>22</xdr:row>
                    <xdr:rowOff>0</xdr:rowOff>
                  </from>
                  <to>
                    <xdr:col>7</xdr:col>
                    <xdr:colOff>69011</xdr:colOff>
                    <xdr:row>23</xdr:row>
                    <xdr:rowOff>0</xdr:rowOff>
                  </to>
                </anchor>
              </controlPr>
            </control>
          </mc:Choice>
        </mc:AlternateContent>
        <mc:AlternateContent xmlns:mc="http://schemas.openxmlformats.org/markup-compatibility/2006">
          <mc:Choice Requires="x14">
            <control shapeId="2167840" r:id="rId36" name="Drop Down 32">
              <controlPr defaultSize="0" autoLine="0" autoPict="0">
                <anchor moveWithCells="1">
                  <from>
                    <xdr:col>3</xdr:col>
                    <xdr:colOff>0</xdr:colOff>
                    <xdr:row>24</xdr:row>
                    <xdr:rowOff>0</xdr:rowOff>
                  </from>
                  <to>
                    <xdr:col>7</xdr:col>
                    <xdr:colOff>69011</xdr:colOff>
                    <xdr:row>24</xdr:row>
                    <xdr:rowOff>198408</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P92"/>
  <sheetViews>
    <sheetView showGridLines="0" showZeros="0" zoomScaleNormal="75" workbookViewId="0">
      <pane xSplit="12" ySplit="6" topLeftCell="M7" activePane="bottomRight" state="frozen"/>
      <selection activeCell="B3" sqref="B3:I3"/>
      <selection pane="topRight" activeCell="B3" sqref="B3:I3"/>
      <selection pane="bottomLeft" activeCell="B3" sqref="B3:I3"/>
      <selection pane="bottomRight"/>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9.05" thickBot="1" x14ac:dyDescent="0.25">
      <c r="E1" s="3169" t="s">
        <v>176</v>
      </c>
      <c r="F1" s="3169"/>
      <c r="G1" s="3169"/>
      <c r="H1" s="3169"/>
      <c r="I1" s="3169"/>
      <c r="L1" s="299"/>
      <c r="AI1" s="41"/>
    </row>
    <row r="2" spans="1:68" s="33" customFormat="1" ht="19.55" customHeight="1" x14ac:dyDescent="0.3">
      <c r="A2" s="1076"/>
      <c r="B2" s="3391"/>
      <c r="C2" s="3058" t="str">
        <f>"Kostenrechnung "&amp;Preise!$M$2</f>
        <v>Kostenrechnung 2018</v>
      </c>
      <c r="D2" s="1846"/>
      <c r="E2" s="1847"/>
      <c r="F2" s="1847"/>
      <c r="G2" s="1847"/>
      <c r="H2" s="1847"/>
      <c r="I2" s="3059" t="str">
        <f>'Grün3(a)'!J2</f>
        <v>Verfahren mit MwSt.</v>
      </c>
      <c r="J2" s="1848"/>
      <c r="K2" s="1848"/>
      <c r="L2" s="1847"/>
      <c r="M2" s="1849"/>
      <c r="N2" s="1867"/>
      <c r="O2" s="1868" t="str">
        <f>'TestAb(a)'!M2</f>
        <v>Testfrucht</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str">
        <f>Inhalt!I9</f>
        <v xml:space="preserve"> 08/2018</v>
      </c>
      <c r="G3" s="3392">
        <f>'TestAb(a)'!H3</f>
        <v>0</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2801"/>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800"/>
      <c r="J6" s="2800"/>
      <c r="K6" s="2800"/>
      <c r="L6" s="425" t="s">
        <v>72</v>
      </c>
      <c r="M6" s="258">
        <f>'TestAb(a)'!K5</f>
        <v>75</v>
      </c>
      <c r="N6" s="1290">
        <f>'TestAb(a)'!M5</f>
        <v>100</v>
      </c>
      <c r="O6" s="1298">
        <f>'TestAb(a)'!O5</f>
        <v>125</v>
      </c>
      <c r="P6" s="163"/>
      <c r="AD6" s="163"/>
      <c r="AE6" s="163"/>
      <c r="AF6" s="163"/>
      <c r="AG6" s="163"/>
      <c r="AH6" s="163"/>
      <c r="AI6" s="163"/>
      <c r="AJ6" s="163"/>
      <c r="AK6" s="163"/>
      <c r="AL6" s="163"/>
      <c r="AM6" s="163"/>
      <c r="AN6" s="7"/>
      <c r="AO6" s="2785">
        <v>2</v>
      </c>
    </row>
    <row r="7" spans="1:68" s="168" customFormat="1" ht="20.399999999999999" customHeight="1" x14ac:dyDescent="0.2">
      <c r="B7" s="3358"/>
      <c r="C7" s="1308">
        <v>4</v>
      </c>
      <c r="D7" s="332" t="s">
        <v>108</v>
      </c>
      <c r="F7" s="163"/>
      <c r="G7" s="26"/>
      <c r="H7" s="26"/>
      <c r="I7" s="2800"/>
      <c r="J7" s="2800"/>
      <c r="K7" s="2800"/>
      <c r="L7" s="425" t="s">
        <v>72</v>
      </c>
      <c r="M7" s="391">
        <f>'TestAb(a)'!K9</f>
        <v>75</v>
      </c>
      <c r="N7" s="1291">
        <f>'TestAb(a)'!M9</f>
        <v>100</v>
      </c>
      <c r="O7" s="1299">
        <f>'TestAb(a)'!O9</f>
        <v>125</v>
      </c>
      <c r="P7" s="163"/>
      <c r="AD7" s="163"/>
      <c r="AE7" s="163"/>
      <c r="AF7" s="163"/>
      <c r="AG7" s="163"/>
      <c r="AH7" s="163"/>
      <c r="AI7" s="163"/>
      <c r="AJ7" s="163"/>
      <c r="AK7" s="163"/>
      <c r="AL7" s="163"/>
      <c r="AM7" s="163"/>
      <c r="AN7" s="7"/>
      <c r="AO7" s="2785"/>
    </row>
    <row r="8" spans="1:68" s="1" customFormat="1" ht="16.5" customHeight="1" x14ac:dyDescent="0.2">
      <c r="A8" s="168"/>
      <c r="B8" s="3358"/>
      <c r="C8" s="1345">
        <v>5</v>
      </c>
      <c r="D8" s="1322"/>
      <c r="E8" s="381"/>
      <c r="F8" s="36"/>
      <c r="G8" s="14"/>
      <c r="H8" s="14"/>
      <c r="I8" s="2377"/>
      <c r="J8" s="2377"/>
      <c r="K8" s="2377"/>
      <c r="L8" s="139" t="s">
        <v>376</v>
      </c>
      <c r="M8" s="404">
        <f>'TestAb(a)'!L9</f>
        <v>0</v>
      </c>
      <c r="N8" s="1292">
        <f>'TestAb(a)'!N9</f>
        <v>0</v>
      </c>
      <c r="O8" s="1201">
        <f>'TestAb(a)'!P9</f>
        <v>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2785"/>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800"/>
      <c r="J9" s="2800"/>
      <c r="K9" s="2800"/>
      <c r="L9" s="425" t="s">
        <v>72</v>
      </c>
      <c r="M9" s="967">
        <f>'TestAb(a)'!K11</f>
        <v>75</v>
      </c>
      <c r="N9" s="1181">
        <f>'TestAb(a)'!M11</f>
        <v>100</v>
      </c>
      <c r="O9" s="1302">
        <f>'TestAb(a)'!O11</f>
        <v>125</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2785"/>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800"/>
      <c r="J10" s="2800"/>
      <c r="K10" s="2800"/>
      <c r="L10" s="425" t="s">
        <v>376</v>
      </c>
      <c r="M10" s="1469">
        <f>'TestAb(a)'!L11</f>
        <v>0</v>
      </c>
      <c r="N10" s="1200">
        <f>'TestAb(a)'!N11</f>
        <v>0</v>
      </c>
      <c r="O10" s="1470">
        <f>'TestAb(a)'!P11</f>
        <v>0</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2785"/>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'TestAb(a)'!L12</f>
        <v>0</v>
      </c>
      <c r="N11" s="1358">
        <f>'TestAb(a)'!N12</f>
        <v>0</v>
      </c>
      <c r="O11" s="1359">
        <f>'TestAb(a)'!P12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2785"/>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'TestAb(a)'!K15</f>
        <v>0</v>
      </c>
      <c r="N12" s="1293">
        <f>'TestAb(a)'!M15</f>
        <v>0</v>
      </c>
      <c r="O12" s="1300">
        <f>'TestAb(a)'!O15</f>
        <v>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2785"/>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'TestAb(a)'!K16</f>
        <v>0</v>
      </c>
      <c r="N13" s="1533">
        <f>'TestAb(a)'!M16</f>
        <v>0</v>
      </c>
      <c r="O13" s="1534">
        <f>'TestAb(a)'!O16</f>
        <v>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2785"/>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802"/>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2785"/>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'TestAb(a)'!L24</f>
        <v>270</v>
      </c>
      <c r="N15" s="2135">
        <f>'TestAb(a)'!N24</f>
        <v>270</v>
      </c>
      <c r="O15" s="2138">
        <f>'TestAb(a)'!P24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2785"/>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'TestAb(a)'!L18</f>
        <v>280</v>
      </c>
      <c r="N16" s="1291">
        <f>'TestAb(a)'!N18</f>
        <v>280</v>
      </c>
      <c r="O16" s="2140">
        <f>'TestAb(a)'!P18</f>
        <v>280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2785"/>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550</v>
      </c>
      <c r="N17" s="1533">
        <f>N15+N16</f>
        <v>550</v>
      </c>
      <c r="O17" s="2146">
        <f>O15+O16</f>
        <v>550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2785"/>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2785"/>
    </row>
    <row r="19" spans="1:68" ht="16.5" customHeight="1" x14ac:dyDescent="0.2">
      <c r="B19" s="3386" t="s">
        <v>459</v>
      </c>
      <c r="C19" s="1204">
        <f>C17+1</f>
        <v>14</v>
      </c>
      <c r="D19" s="3389"/>
      <c r="E19" s="1526" t="s">
        <v>215</v>
      </c>
      <c r="F19" s="1526"/>
      <c r="G19" s="1526"/>
      <c r="H19" s="1526"/>
      <c r="I19" s="1526"/>
      <c r="J19" s="1526"/>
      <c r="K19" s="1526"/>
      <c r="L19" s="1540" t="s">
        <v>154</v>
      </c>
      <c r="M19" s="1527">
        <f>'TestAb(a)'!L27</f>
        <v>0</v>
      </c>
      <c r="N19" s="1528">
        <f>'TestAb(a)'!N27</f>
        <v>0</v>
      </c>
      <c r="O19" s="1529">
        <f>'TestAb(a)'!P27</f>
        <v>0</v>
      </c>
      <c r="P19" s="163"/>
      <c r="AD19" s="163"/>
      <c r="AE19" s="163"/>
      <c r="AF19" s="163"/>
      <c r="AG19" s="163"/>
      <c r="AH19" s="163"/>
      <c r="AI19" s="163"/>
      <c r="AJ19" s="163"/>
      <c r="AK19" s="163"/>
      <c r="AL19" s="163"/>
      <c r="AM19" s="163"/>
      <c r="AO19" s="2782"/>
    </row>
    <row r="20" spans="1:68" ht="16.5" customHeight="1" x14ac:dyDescent="0.2">
      <c r="B20" s="3387"/>
      <c r="C20" s="1308">
        <f>C19+1</f>
        <v>15</v>
      </c>
      <c r="D20" s="3390"/>
      <c r="E20" s="2784" t="s">
        <v>597</v>
      </c>
      <c r="F20" s="2784"/>
      <c r="G20" s="2784"/>
      <c r="H20" s="2784"/>
      <c r="I20" s="2784"/>
      <c r="J20" s="2784"/>
      <c r="K20" s="2784"/>
      <c r="L20" s="1541" t="s">
        <v>154</v>
      </c>
      <c r="M20" s="235">
        <f>'TestAb(a)'!L31</f>
        <v>0</v>
      </c>
      <c r="N20" s="1186">
        <f>'TestAb(a)'!N31</f>
        <v>0</v>
      </c>
      <c r="O20" s="1192">
        <f>'TestAb(a)'!P31</f>
        <v>0</v>
      </c>
      <c r="P20" s="163"/>
      <c r="AD20" s="2782"/>
      <c r="AE20" s="2782"/>
      <c r="AF20" s="2782"/>
      <c r="AG20" s="2782"/>
      <c r="AH20" s="2782"/>
      <c r="AI20" s="19"/>
      <c r="AJ20" s="520"/>
      <c r="AK20" s="521"/>
      <c r="AL20" s="520"/>
      <c r="AM20" s="520"/>
      <c r="AO20" s="2782"/>
    </row>
    <row r="21" spans="1:68" ht="16.5" customHeight="1" x14ac:dyDescent="0.2">
      <c r="B21" s="3387"/>
      <c r="C21" s="1308">
        <f>C20+1</f>
        <v>16</v>
      </c>
      <c r="D21" s="3390"/>
      <c r="E21" s="2785" t="s">
        <v>227</v>
      </c>
      <c r="F21" s="2785"/>
      <c r="G21" s="2785"/>
      <c r="H21" s="2785"/>
      <c r="I21" s="2785"/>
      <c r="J21" s="2785"/>
      <c r="K21" s="2785"/>
      <c r="L21" s="1541" t="s">
        <v>154</v>
      </c>
      <c r="M21" s="235">
        <f>'TestAb(a)'!L37</f>
        <v>0</v>
      </c>
      <c r="N21" s="1186">
        <f>'TestAb(a)'!N37</f>
        <v>0</v>
      </c>
      <c r="O21" s="1192">
        <f>'TestAb(a)'!P37</f>
        <v>0</v>
      </c>
      <c r="P21" s="163"/>
      <c r="AD21" s="2782"/>
      <c r="AE21" s="2782"/>
      <c r="AF21" s="2782"/>
      <c r="AG21" s="2782"/>
      <c r="AH21" s="2782"/>
      <c r="AI21" s="19"/>
      <c r="AJ21" s="520"/>
      <c r="AK21" s="521"/>
      <c r="AL21" s="520"/>
      <c r="AM21" s="520"/>
      <c r="AO21" s="2782"/>
    </row>
    <row r="22" spans="1:68" ht="16.5" customHeight="1" x14ac:dyDescent="0.2">
      <c r="B22" s="3387"/>
      <c r="C22" s="1308">
        <f>C21+1</f>
        <v>17</v>
      </c>
      <c r="D22" s="3390"/>
      <c r="E22" s="2785" t="s">
        <v>448</v>
      </c>
      <c r="F22" s="2785"/>
      <c r="G22" s="2785"/>
      <c r="H22" s="2785"/>
      <c r="I22" s="2785"/>
      <c r="J22" s="2785"/>
      <c r="K22" s="2785"/>
      <c r="L22" s="1541" t="s">
        <v>154</v>
      </c>
      <c r="M22" s="235">
        <f>'TestAb(a)'!L65</f>
        <v>0</v>
      </c>
      <c r="N22" s="1186">
        <f>'TestAb(a)'!N65</f>
        <v>0</v>
      </c>
      <c r="O22" s="1192">
        <f>'TestAb(a)'!P65</f>
        <v>0</v>
      </c>
      <c r="P22" s="163"/>
      <c r="AD22" s="2782"/>
      <c r="AE22" s="2782"/>
      <c r="AF22" s="2782"/>
      <c r="AG22" s="2782"/>
      <c r="AH22" s="2782"/>
      <c r="AI22" s="19"/>
      <c r="AJ22" s="520"/>
      <c r="AK22" s="521"/>
      <c r="AL22" s="520"/>
      <c r="AM22" s="520"/>
      <c r="AO22" s="2782"/>
    </row>
    <row r="23" spans="1:68" ht="16.5" customHeight="1" x14ac:dyDescent="0.2">
      <c r="B23" s="3387"/>
      <c r="C23" s="1308">
        <f>C22+1</f>
        <v>18</v>
      </c>
      <c r="D23" s="3390"/>
      <c r="E23" s="2785" t="s">
        <v>451</v>
      </c>
      <c r="F23" s="2785"/>
      <c r="G23" s="2785"/>
      <c r="H23" s="2785"/>
      <c r="I23" s="2785"/>
      <c r="J23" s="2785"/>
      <c r="K23" s="2785"/>
      <c r="L23" s="1541" t="s">
        <v>154</v>
      </c>
      <c r="M23" s="235">
        <f>'TestAb(a)'!L67</f>
        <v>0</v>
      </c>
      <c r="N23" s="1186">
        <f>'TestAb(a)'!N67</f>
        <v>0</v>
      </c>
      <c r="O23" s="1192">
        <f>'TestAb(a)'!P67</f>
        <v>0</v>
      </c>
      <c r="P23" s="163"/>
      <c r="AD23" s="2782"/>
      <c r="AE23" s="2782"/>
      <c r="AF23" s="2782"/>
      <c r="AG23" s="2782"/>
      <c r="AH23" s="2782"/>
      <c r="AI23" s="19"/>
      <c r="AJ23" s="520"/>
      <c r="AK23" s="521"/>
      <c r="AL23" s="520"/>
      <c r="AM23" s="520"/>
      <c r="AO23" s="2782"/>
    </row>
    <row r="24" spans="1:68" ht="16.5" customHeight="1" x14ac:dyDescent="0.2">
      <c r="B24" s="3387"/>
      <c r="C24" s="1308">
        <f t="shared" ref="C24:C34" si="0">C23+1</f>
        <v>19</v>
      </c>
      <c r="D24" s="1347"/>
      <c r="E24" s="2785" t="s">
        <v>246</v>
      </c>
      <c r="F24" s="2785"/>
      <c r="G24" s="2785"/>
      <c r="H24" s="2785"/>
      <c r="I24" s="2785"/>
      <c r="J24" s="2785"/>
      <c r="K24" s="2785"/>
      <c r="L24" s="1541" t="s">
        <v>154</v>
      </c>
      <c r="M24" s="235">
        <f>'TestAb(a)'!L42</f>
        <v>0</v>
      </c>
      <c r="N24" s="1186">
        <f>'TestAb(a)'!N42</f>
        <v>0</v>
      </c>
      <c r="O24" s="1192">
        <f>'TestAb(a)'!P42</f>
        <v>0</v>
      </c>
      <c r="P24" s="163"/>
      <c r="AD24" s="2782"/>
      <c r="AE24" s="2782"/>
      <c r="AF24" s="2782"/>
      <c r="AG24" s="2782"/>
      <c r="AH24" s="2782"/>
      <c r="AI24" s="19"/>
      <c r="AJ24" s="520"/>
      <c r="AK24" s="521"/>
      <c r="AL24" s="520"/>
      <c r="AM24" s="520"/>
      <c r="AO24" s="2782"/>
    </row>
    <row r="25" spans="1:68" ht="16.5" customHeight="1" x14ac:dyDescent="0.2">
      <c r="B25" s="3387"/>
      <c r="C25" s="1308">
        <f t="shared" si="0"/>
        <v>20</v>
      </c>
      <c r="D25" s="1347"/>
      <c r="E25" s="2785" t="s">
        <v>286</v>
      </c>
      <c r="F25" s="2785"/>
      <c r="G25" s="2785"/>
      <c r="H25" s="2785"/>
      <c r="I25" s="2785"/>
      <c r="J25" s="2785"/>
      <c r="K25" s="2785"/>
      <c r="L25" s="1541" t="s">
        <v>154</v>
      </c>
      <c r="M25" s="235">
        <f>'TestAb(a)'!L58</f>
        <v>0</v>
      </c>
      <c r="N25" s="1186">
        <f>'TestAb(a)'!N58</f>
        <v>0</v>
      </c>
      <c r="O25" s="1192">
        <f>'TestAb(a)'!P58</f>
        <v>0</v>
      </c>
      <c r="P25" s="163"/>
      <c r="AD25" s="2782"/>
      <c r="AE25" s="2782"/>
      <c r="AF25" s="2782"/>
      <c r="AG25" s="2782"/>
      <c r="AH25" s="2782"/>
      <c r="AI25" s="19"/>
      <c r="AJ25" s="520"/>
      <c r="AK25" s="521"/>
      <c r="AL25" s="520"/>
      <c r="AM25" s="520"/>
      <c r="AO25" s="2782"/>
    </row>
    <row r="26" spans="1:68" ht="16.5" customHeight="1" x14ac:dyDescent="0.2">
      <c r="B26" s="3387"/>
      <c r="C26" s="1345">
        <f t="shared" si="0"/>
        <v>21</v>
      </c>
      <c r="D26" s="1512"/>
      <c r="E26" s="2790" t="s">
        <v>214</v>
      </c>
      <c r="F26" s="2790"/>
      <c r="G26" s="2790"/>
      <c r="H26" s="2790"/>
      <c r="I26" s="2790"/>
      <c r="J26" s="2790"/>
      <c r="K26" s="2790"/>
      <c r="L26" s="1542" t="s">
        <v>154</v>
      </c>
      <c r="M26" s="1437">
        <f>'TestAb(a)'!L63</f>
        <v>0</v>
      </c>
      <c r="N26" s="1438">
        <f>'TestAb(a)'!N63</f>
        <v>0</v>
      </c>
      <c r="O26" s="1439">
        <f>'TestAb(a)'!P63</f>
        <v>0</v>
      </c>
      <c r="P26" s="163"/>
      <c r="AD26" s="2782"/>
      <c r="AE26" s="2782"/>
      <c r="AF26" s="2782"/>
      <c r="AG26" s="2782"/>
      <c r="AH26" s="2782"/>
      <c r="AI26" s="19"/>
      <c r="AJ26" s="520"/>
      <c r="AK26" s="521"/>
      <c r="AL26" s="520"/>
      <c r="AM26" s="520"/>
      <c r="AO26" s="2782"/>
    </row>
    <row r="27" spans="1:68" ht="20.399999999999999" customHeight="1" x14ac:dyDescent="0.2">
      <c r="B27" s="3388"/>
      <c r="C27" s="1345">
        <f t="shared" si="0"/>
        <v>22</v>
      </c>
      <c r="D27" s="1447" t="s">
        <v>586</v>
      </c>
      <c r="E27" s="1363"/>
      <c r="F27" s="1509"/>
      <c r="G27" s="1509"/>
      <c r="H27" s="1509"/>
      <c r="I27" s="1509"/>
      <c r="J27" s="1509"/>
      <c r="K27" s="1509"/>
      <c r="L27" s="1510" t="s">
        <v>154</v>
      </c>
      <c r="M27" s="1319">
        <f>SUM(M19:M26)</f>
        <v>0</v>
      </c>
      <c r="N27" s="1319">
        <f>SUM(N19:N26)</f>
        <v>0</v>
      </c>
      <c r="O27" s="1511">
        <f>SUM(O19:O26)</f>
        <v>0</v>
      </c>
      <c r="P27" s="163"/>
      <c r="AD27" s="2782"/>
      <c r="AE27" s="2782"/>
      <c r="AF27" s="2782"/>
      <c r="AG27" s="2782"/>
      <c r="AH27" s="2782"/>
      <c r="AI27" s="19"/>
      <c r="AJ27" s="520"/>
      <c r="AK27" s="521"/>
      <c r="AL27" s="520"/>
      <c r="AM27" s="520"/>
      <c r="AO27" s="2782"/>
    </row>
    <row r="28" spans="1:68" ht="20.399999999999999" customHeight="1" x14ac:dyDescent="0.2">
      <c r="B28" s="3396" t="s">
        <v>460</v>
      </c>
      <c r="C28" s="1371">
        <f>C27+1</f>
        <v>23</v>
      </c>
      <c r="D28" s="3360" t="s">
        <v>576</v>
      </c>
      <c r="E28" s="3361"/>
      <c r="F28" s="3361"/>
      <c r="G28" s="3361"/>
      <c r="H28" s="3361"/>
      <c r="I28" s="3361"/>
      <c r="J28" s="3361"/>
      <c r="K28" s="3361"/>
      <c r="L28" s="1578" t="s">
        <v>154</v>
      </c>
      <c r="M28" s="1321">
        <f>-M27</f>
        <v>0</v>
      </c>
      <c r="N28" s="1321">
        <f>-N27</f>
        <v>0</v>
      </c>
      <c r="O28" s="1321">
        <f>-O27</f>
        <v>0</v>
      </c>
      <c r="P28" s="163"/>
      <c r="AD28" s="2782"/>
      <c r="AE28" s="2782"/>
      <c r="AF28" s="2782"/>
      <c r="AG28" s="2782"/>
      <c r="AH28" s="2782"/>
      <c r="AI28" s="19"/>
      <c r="AJ28" s="520"/>
      <c r="AK28" s="521"/>
      <c r="AL28" s="520"/>
      <c r="AM28" s="520"/>
      <c r="AO28" s="2782"/>
    </row>
    <row r="29" spans="1:68" ht="20.399999999999999" customHeight="1" x14ac:dyDescent="0.2">
      <c r="B29" s="3396"/>
      <c r="C29" s="1308">
        <v>24</v>
      </c>
      <c r="D29" s="1783"/>
      <c r="E29" s="1363"/>
      <c r="F29" s="1784"/>
      <c r="G29" s="1784"/>
      <c r="H29" s="1784"/>
      <c r="I29" s="1784"/>
      <c r="J29" s="1784"/>
      <c r="K29" s="1784"/>
      <c r="L29" s="1510" t="s">
        <v>158</v>
      </c>
      <c r="M29" s="1377">
        <f>IF(M$8=0,0,M$28/M$12)</f>
        <v>0</v>
      </c>
      <c r="N29" s="1377">
        <f>IF(N$8=0,0,N$28/N$12)</f>
        <v>0</v>
      </c>
      <c r="O29" s="1377">
        <f>IF(O$8=0,0,O$28/O$12)</f>
        <v>0</v>
      </c>
      <c r="P29" s="163"/>
      <c r="AD29" s="2782"/>
      <c r="AE29" s="2782"/>
      <c r="AF29" s="2782"/>
      <c r="AG29" s="2782"/>
      <c r="AH29" s="2782"/>
      <c r="AI29" s="19"/>
      <c r="AJ29" s="520"/>
      <c r="AK29" s="521"/>
      <c r="AL29" s="520"/>
      <c r="AM29" s="520"/>
      <c r="AO29" s="2782"/>
    </row>
    <row r="30" spans="1:68" ht="14.45" customHeight="1" x14ac:dyDescent="0.2">
      <c r="B30" s="3387"/>
      <c r="C30" s="1308">
        <f>C28+1</f>
        <v>24</v>
      </c>
      <c r="E30" s="1434" t="s">
        <v>569</v>
      </c>
      <c r="F30" s="26"/>
      <c r="G30" s="26"/>
      <c r="H30" s="26"/>
      <c r="I30" s="26"/>
      <c r="J30" s="26"/>
      <c r="K30" s="26"/>
      <c r="L30" s="425" t="s">
        <v>154</v>
      </c>
      <c r="M30" s="1296">
        <f>M17</f>
        <v>550</v>
      </c>
      <c r="N30" s="1297">
        <f>N17</f>
        <v>550</v>
      </c>
      <c r="O30" s="1301">
        <f>O17</f>
        <v>550</v>
      </c>
      <c r="P30" s="163"/>
      <c r="U30" s="7" t="s">
        <v>554</v>
      </c>
      <c r="AD30" s="2782"/>
      <c r="AE30" s="2782"/>
      <c r="AF30" s="2782"/>
      <c r="AG30" s="2782"/>
      <c r="AH30" s="2782"/>
      <c r="AI30" s="19"/>
      <c r="AJ30" s="520"/>
      <c r="AK30" s="521"/>
      <c r="AL30" s="520"/>
      <c r="AM30" s="520"/>
      <c r="AO30" s="2782"/>
    </row>
    <row r="31" spans="1:68" ht="16.5" customHeight="1" x14ac:dyDescent="0.2">
      <c r="B31" s="3387"/>
      <c r="C31" s="1345">
        <f t="shared" si="0"/>
        <v>25</v>
      </c>
      <c r="D31" s="1322"/>
      <c r="E31" s="1435" t="s">
        <v>508</v>
      </c>
      <c r="F31" s="2790"/>
      <c r="G31" s="2790"/>
      <c r="H31" s="2790"/>
      <c r="I31" s="2790"/>
      <c r="J31" s="2790"/>
      <c r="K31" s="2790"/>
      <c r="L31" s="1436" t="s">
        <v>154</v>
      </c>
      <c r="M31" s="1437">
        <f>M27*'TestAb(a)'!$L$70*'TestAb(a)'!$P$70/12/100</f>
        <v>0</v>
      </c>
      <c r="N31" s="1438">
        <f>N27*'TestAb(a)'!$L$70*'TestAb(a)'!$P$70/12/100</f>
        <v>0</v>
      </c>
      <c r="O31" s="1439">
        <f>O27*'TestAb(a)'!$L$70*'TestAb(a)'!$P$70/12/100</f>
        <v>0</v>
      </c>
      <c r="P31" s="163"/>
      <c r="T31" s="7" t="s">
        <v>581</v>
      </c>
      <c r="U31" s="2121"/>
      <c r="V31" s="2121"/>
      <c r="W31" s="2121"/>
      <c r="X31" s="2121"/>
      <c r="Y31" s="2121"/>
      <c r="Z31" s="2116">
        <f>'TestAb(a)'!Q18+'TestAb(a)'!Q24</f>
        <v>0</v>
      </c>
      <c r="AD31" s="2782"/>
      <c r="AE31" s="2782"/>
      <c r="AF31" s="2782"/>
      <c r="AG31" s="2782"/>
      <c r="AH31" s="2782"/>
      <c r="AI31" s="19"/>
      <c r="AJ31" s="520"/>
      <c r="AK31" s="521"/>
      <c r="AL31" s="520"/>
      <c r="AM31" s="520"/>
      <c r="AO31" s="2782"/>
    </row>
    <row r="32" spans="1:68" ht="20.25" customHeight="1" x14ac:dyDescent="0.2">
      <c r="A32" s="247"/>
      <c r="B32" s="3387"/>
      <c r="C32" s="1308">
        <f t="shared" si="0"/>
        <v>26</v>
      </c>
      <c r="D32" s="1185" t="s">
        <v>577</v>
      </c>
      <c r="E32" s="1318"/>
      <c r="F32" s="1185"/>
      <c r="G32" s="1185"/>
      <c r="H32" s="1185"/>
      <c r="I32" s="1185"/>
      <c r="J32" s="1185"/>
      <c r="K32" s="1185"/>
      <c r="L32" s="1213" t="s">
        <v>154</v>
      </c>
      <c r="M32" s="1313">
        <f>M28+M30-M31</f>
        <v>550</v>
      </c>
      <c r="N32" s="1313">
        <f>N28+N30-N31</f>
        <v>550</v>
      </c>
      <c r="O32" s="1320">
        <f>O28+O30-O31</f>
        <v>550</v>
      </c>
      <c r="P32" s="163"/>
      <c r="T32" s="7" t="s">
        <v>582</v>
      </c>
      <c r="AD32" s="2782"/>
      <c r="AE32" s="2782"/>
      <c r="AF32" s="2782"/>
      <c r="AG32" s="2782"/>
      <c r="AH32" s="2782"/>
      <c r="AI32" s="19"/>
      <c r="AJ32" s="520"/>
      <c r="AK32" s="521"/>
      <c r="AL32" s="520"/>
      <c r="AM32" s="520"/>
      <c r="AO32" s="2782"/>
    </row>
    <row r="33" spans="1:41" ht="17.350000000000001" customHeight="1" x14ac:dyDescent="0.2">
      <c r="A33" s="247"/>
      <c r="B33" s="3387"/>
      <c r="C33" s="1308">
        <f t="shared" si="0"/>
        <v>27</v>
      </c>
      <c r="D33" s="1501"/>
      <c r="E33" s="1471" t="s">
        <v>587</v>
      </c>
      <c r="F33" s="1475"/>
      <c r="G33" s="1475"/>
      <c r="H33" s="1475"/>
      <c r="I33" s="1475"/>
      <c r="J33" s="1475"/>
      <c r="K33" s="1475"/>
      <c r="L33" s="1370" t="s">
        <v>158</v>
      </c>
      <c r="M33" s="1502">
        <f>IF(M12=0,0,M32/M12)</f>
        <v>0</v>
      </c>
      <c r="N33" s="1180">
        <f>IF(N12=0,0,N32/N12)</f>
        <v>0</v>
      </c>
      <c r="O33" s="1503">
        <f>IF(O12=0,0,O32/O12)</f>
        <v>0</v>
      </c>
      <c r="P33" s="163"/>
      <c r="AD33" s="2782"/>
      <c r="AE33" s="2782"/>
      <c r="AF33" s="2782"/>
      <c r="AG33" s="2782"/>
      <c r="AH33" s="2782"/>
      <c r="AI33" s="19"/>
      <c r="AJ33" s="520"/>
      <c r="AK33" s="521"/>
      <c r="AL33" s="520"/>
      <c r="AM33" s="520"/>
      <c r="AO33" s="2782"/>
    </row>
    <row r="34" spans="1:41" ht="20.25" customHeight="1" thickBot="1" x14ac:dyDescent="0.25">
      <c r="A34" s="247"/>
      <c r="B34" s="3388"/>
      <c r="C34" s="1346">
        <f t="shared" si="0"/>
        <v>28</v>
      </c>
      <c r="D34" s="1504"/>
      <c r="E34" s="2792"/>
      <c r="F34" s="2792"/>
      <c r="G34" s="2792"/>
      <c r="H34" s="2792"/>
      <c r="I34" s="2792"/>
      <c r="J34" s="2792"/>
      <c r="K34" s="2792"/>
      <c r="L34" s="1506" t="s">
        <v>159</v>
      </c>
      <c r="M34" s="1507">
        <f>IF(M13=0,0,M32/M13)</f>
        <v>0</v>
      </c>
      <c r="N34" s="1194">
        <f>IF(N13=0,0,N32/N13)</f>
        <v>0</v>
      </c>
      <c r="O34" s="1508">
        <f>IF(O13=0,0,O32/O13)</f>
        <v>0</v>
      </c>
      <c r="P34" s="163"/>
      <c r="AD34" s="2782"/>
      <c r="AE34" s="2782"/>
      <c r="AF34" s="2782"/>
      <c r="AG34" s="2782"/>
      <c r="AH34" s="2782"/>
      <c r="AI34" s="19"/>
      <c r="AJ34" s="520"/>
      <c r="AK34" s="521"/>
      <c r="AL34" s="520"/>
      <c r="AM34" s="520"/>
      <c r="AO34" s="2782"/>
    </row>
    <row r="35" spans="1:41" s="291" customFormat="1" ht="5.95" customHeight="1" thickBot="1" x14ac:dyDescent="0.25">
      <c r="A35" s="247"/>
      <c r="B35" s="247"/>
      <c r="C35" s="1455"/>
      <c r="D35" s="1289"/>
      <c r="E35" s="1456"/>
      <c r="F35" s="966"/>
      <c r="G35" s="966"/>
      <c r="H35" s="966"/>
      <c r="I35" s="966"/>
      <c r="J35" s="966"/>
      <c r="K35" s="966"/>
      <c r="L35" s="1214"/>
      <c r="M35" s="1175"/>
      <c r="N35" s="1499"/>
      <c r="O35" s="1175"/>
      <c r="P35" s="247"/>
      <c r="AD35" s="966"/>
      <c r="AE35" s="966"/>
      <c r="AF35" s="966"/>
      <c r="AG35" s="966"/>
      <c r="AH35" s="966"/>
      <c r="AI35" s="376"/>
      <c r="AJ35" s="1176"/>
      <c r="AK35" s="1176"/>
      <c r="AL35" s="1176"/>
      <c r="AM35" s="1176"/>
      <c r="AO35" s="966"/>
    </row>
    <row r="36" spans="1:41" ht="17.7" customHeight="1" x14ac:dyDescent="0.2">
      <c r="A36" s="163"/>
      <c r="B36" s="3355" t="s">
        <v>226</v>
      </c>
      <c r="C36" s="1448">
        <f>C34+1</f>
        <v>29</v>
      </c>
      <c r="D36" s="1788"/>
      <c r="E36" s="1789" t="s">
        <v>31</v>
      </c>
      <c r="F36" s="1789"/>
      <c r="G36" s="1789"/>
      <c r="H36" s="1789"/>
      <c r="I36" s="1789"/>
      <c r="J36" s="1789"/>
      <c r="K36" s="1789"/>
      <c r="L36" s="1790" t="s">
        <v>161</v>
      </c>
      <c r="M36" s="1772">
        <f>'TestAb(a)'!K57</f>
        <v>0</v>
      </c>
      <c r="N36" s="1771">
        <f>'TestAb(a)'!M57</f>
        <v>0</v>
      </c>
      <c r="O36" s="1773">
        <f>'TestAb(a)'!O57</f>
        <v>0</v>
      </c>
      <c r="P36" s="163"/>
      <c r="AD36" s="163"/>
      <c r="AE36" s="163"/>
      <c r="AF36" s="163"/>
      <c r="AG36" s="163"/>
      <c r="AH36" s="163"/>
      <c r="AI36" s="163"/>
      <c r="AJ36" s="163"/>
      <c r="AK36" s="163"/>
      <c r="AL36" s="163"/>
      <c r="AM36" s="163"/>
      <c r="AO36" s="2787"/>
    </row>
    <row r="37" spans="1:41" ht="17.7" customHeight="1" x14ac:dyDescent="0.3">
      <c r="A37" s="163"/>
      <c r="B37" s="3356"/>
      <c r="C37" s="1372">
        <f>C36+1</f>
        <v>30</v>
      </c>
      <c r="D37" s="1454"/>
      <c r="E37" s="2790" t="s">
        <v>162</v>
      </c>
      <c r="F37" s="2790"/>
      <c r="G37" s="1530"/>
      <c r="H37" s="1530"/>
      <c r="I37" s="1539">
        <f>IF(M37=0,0,'Lager-Fläche'!$L$13)</f>
        <v>0</v>
      </c>
      <c r="J37" s="218" t="s">
        <v>32</v>
      </c>
      <c r="K37" s="218"/>
      <c r="L37" s="1531" t="s">
        <v>378</v>
      </c>
      <c r="M37" s="1802">
        <f>'TestAb(a)'!L10</f>
        <v>0</v>
      </c>
      <c r="N37" s="1803">
        <f>'TestAb(a)'!N10</f>
        <v>0</v>
      </c>
      <c r="O37" s="1804">
        <f>'TestAb(a)'!P10</f>
        <v>0</v>
      </c>
      <c r="P37" s="163"/>
      <c r="AD37" s="163"/>
      <c r="AE37" s="163"/>
      <c r="AF37" s="163"/>
      <c r="AG37" s="163"/>
      <c r="AH37" s="163"/>
      <c r="AI37" s="163"/>
      <c r="AJ37" s="163"/>
      <c r="AK37" s="163"/>
      <c r="AL37" s="163"/>
      <c r="AM37" s="163"/>
      <c r="AO37" s="2787"/>
    </row>
    <row r="38" spans="1:41" ht="20.399999999999999" customHeight="1" x14ac:dyDescent="0.2">
      <c r="A38" s="163"/>
      <c r="B38" s="3356"/>
      <c r="C38" s="1349">
        <f>C37+1</f>
        <v>31</v>
      </c>
      <c r="D38" s="1347"/>
      <c r="E38" s="2785" t="s">
        <v>212</v>
      </c>
      <c r="F38" s="2785"/>
      <c r="G38" s="163"/>
      <c r="H38" s="163"/>
      <c r="J38" s="1380">
        <f>Preise!$M$37</f>
        <v>16.5</v>
      </c>
      <c r="K38" s="299" t="s">
        <v>311</v>
      </c>
      <c r="L38" s="425" t="s">
        <v>154</v>
      </c>
      <c r="M38" s="1800">
        <f>$J$38*M36</f>
        <v>0</v>
      </c>
      <c r="N38" s="1186">
        <f>$J$38*N36</f>
        <v>0</v>
      </c>
      <c r="O38" s="1192">
        <f>$J$38*O36</f>
        <v>0</v>
      </c>
      <c r="P38" s="163"/>
      <c r="AD38" s="163"/>
      <c r="AE38" s="163"/>
      <c r="AF38" s="163"/>
      <c r="AG38" s="163"/>
      <c r="AH38" s="163"/>
      <c r="AI38" s="163"/>
      <c r="AJ38" s="163"/>
      <c r="AK38" s="163"/>
      <c r="AL38" s="163"/>
      <c r="AM38" s="163"/>
      <c r="AO38" s="2787"/>
    </row>
    <row r="39" spans="1:41" s="168" customFormat="1" ht="17.7" customHeight="1" x14ac:dyDescent="0.2">
      <c r="B39" s="3356"/>
      <c r="C39" s="1349">
        <f t="shared" ref="C39:C44" si="1">C38+1</f>
        <v>32</v>
      </c>
      <c r="D39" s="1440"/>
      <c r="E39" s="2785" t="s">
        <v>216</v>
      </c>
      <c r="F39" s="2785"/>
      <c r="G39" s="2785"/>
      <c r="K39" s="7"/>
      <c r="L39" s="425" t="s">
        <v>154</v>
      </c>
      <c r="M39" s="235">
        <f>M37*$I$37</f>
        <v>0</v>
      </c>
      <c r="N39" s="1805">
        <f>N37*$I$37</f>
        <v>0</v>
      </c>
      <c r="O39" s="1801">
        <f>O37*$I$37</f>
        <v>0</v>
      </c>
      <c r="P39" s="163"/>
      <c r="AD39" s="163"/>
      <c r="AE39" s="163"/>
      <c r="AF39" s="163"/>
      <c r="AG39" s="163"/>
      <c r="AH39" s="163"/>
      <c r="AI39" s="163"/>
      <c r="AJ39" s="163"/>
      <c r="AK39" s="163"/>
      <c r="AL39" s="163"/>
      <c r="AM39" s="163"/>
      <c r="AN39" s="7"/>
      <c r="AO39" s="2785"/>
    </row>
    <row r="40" spans="1:41" ht="16.5" customHeight="1" x14ac:dyDescent="0.2">
      <c r="A40" s="163"/>
      <c r="B40" s="3356"/>
      <c r="C40" s="1349">
        <f t="shared" si="1"/>
        <v>33</v>
      </c>
      <c r="D40" s="1347"/>
      <c r="E40" s="2785" t="s">
        <v>228</v>
      </c>
      <c r="F40" s="2785"/>
      <c r="G40" s="2785"/>
      <c r="H40" s="2785"/>
      <c r="I40" s="2785"/>
      <c r="J40" s="2785"/>
      <c r="K40" s="2785"/>
      <c r="L40" s="1198" t="s">
        <v>154</v>
      </c>
      <c r="M40" s="235">
        <f>Maschinen!$U$43</f>
        <v>293.19454033333335</v>
      </c>
      <c r="N40" s="1186">
        <f>Maschinen!$U$43</f>
        <v>293.19454033333335</v>
      </c>
      <c r="O40" s="1192">
        <f>Maschinen!$U$43</f>
        <v>293.19454033333335</v>
      </c>
      <c r="P40" s="163"/>
      <c r="AD40" s="163"/>
      <c r="AE40" s="163"/>
      <c r="AF40" s="163"/>
      <c r="AG40" s="163"/>
      <c r="AH40" s="163"/>
      <c r="AI40" s="163"/>
      <c r="AJ40" s="163"/>
      <c r="AK40" s="163"/>
      <c r="AL40" s="163"/>
      <c r="AM40" s="163"/>
      <c r="AO40" s="671"/>
    </row>
    <row r="41" spans="1:41" ht="16.5" customHeight="1" x14ac:dyDescent="0.2">
      <c r="B41" s="3356"/>
      <c r="C41" s="1349">
        <f t="shared" si="1"/>
        <v>34</v>
      </c>
      <c r="D41" s="1295"/>
      <c r="E41" s="2785" t="s">
        <v>243</v>
      </c>
      <c r="F41" s="2785"/>
      <c r="G41" s="2785"/>
      <c r="H41" s="2785"/>
      <c r="I41" s="2785"/>
      <c r="J41" s="2785"/>
      <c r="K41" s="2785"/>
      <c r="L41" s="1198" t="s">
        <v>154</v>
      </c>
      <c r="M41" s="235">
        <f>Maschinen!$U$54</f>
        <v>38.823749999999997</v>
      </c>
      <c r="N41" s="1186">
        <f>Maschinen!$U$54</f>
        <v>38.823749999999997</v>
      </c>
      <c r="O41" s="1192">
        <f>Maschinen!$U$54</f>
        <v>38.823749999999997</v>
      </c>
      <c r="P41" s="163"/>
      <c r="AD41" s="9"/>
      <c r="AE41" s="9"/>
      <c r="AF41" s="9"/>
      <c r="AG41" s="9"/>
      <c r="AH41" s="9"/>
      <c r="AI41" s="1075"/>
      <c r="AJ41" s="1080"/>
      <c r="AK41" s="1081"/>
      <c r="AL41" s="1080"/>
      <c r="AM41" s="1080"/>
      <c r="AO41" s="9"/>
    </row>
    <row r="42" spans="1:41" ht="16.5" customHeight="1" x14ac:dyDescent="0.2">
      <c r="B42" s="3356"/>
      <c r="C42" s="1349">
        <f t="shared" si="1"/>
        <v>35</v>
      </c>
      <c r="D42" s="1295"/>
      <c r="E42" s="2785" t="s">
        <v>396</v>
      </c>
      <c r="F42" s="2785"/>
      <c r="G42" s="2785"/>
      <c r="H42" s="2785"/>
      <c r="I42" s="2785"/>
      <c r="J42" s="2785"/>
      <c r="K42" s="2785"/>
      <c r="L42" s="1198" t="s">
        <v>154</v>
      </c>
      <c r="M42" s="235">
        <f>'Lager-Fläche'!$L46</f>
        <v>220</v>
      </c>
      <c r="N42" s="1186">
        <f>'Lager-Fläche'!$L47</f>
        <v>270</v>
      </c>
      <c r="O42" s="1192">
        <f>'Lager-Fläche'!$L48</f>
        <v>320</v>
      </c>
      <c r="P42" s="163"/>
      <c r="AD42" s="2785"/>
      <c r="AE42" s="2785"/>
      <c r="AF42" s="2785"/>
      <c r="AG42" s="2785"/>
      <c r="AH42" s="2785"/>
      <c r="AI42" s="19"/>
      <c r="AJ42" s="1082"/>
      <c r="AK42" s="1083"/>
      <c r="AL42" s="1082"/>
      <c r="AM42" s="1082"/>
      <c r="AO42" s="2787"/>
    </row>
    <row r="43" spans="1:41" ht="16.5" customHeight="1" x14ac:dyDescent="0.2">
      <c r="B43" s="3356"/>
      <c r="C43" s="1372">
        <f t="shared" si="1"/>
        <v>36</v>
      </c>
      <c r="D43" s="1496"/>
      <c r="E43" s="2790" t="s">
        <v>244</v>
      </c>
      <c r="F43" s="2790"/>
      <c r="G43" s="2790"/>
      <c r="H43" s="2790"/>
      <c r="I43" s="2790"/>
      <c r="J43" s="2790"/>
      <c r="K43" s="2790"/>
      <c r="L43" s="1212" t="s">
        <v>154</v>
      </c>
      <c r="M43" s="1437">
        <f>'Lager-Fläche'!L56</f>
        <v>124.95</v>
      </c>
      <c r="N43" s="1438">
        <f>'Lager-Fläche'!$L$56</f>
        <v>124.95</v>
      </c>
      <c r="O43" s="1439">
        <f>'Lager-Fläche'!$L$56</f>
        <v>124.95</v>
      </c>
      <c r="P43" s="163"/>
      <c r="AD43" s="2785"/>
      <c r="AE43" s="2785"/>
      <c r="AF43" s="2785"/>
      <c r="AG43" s="2785"/>
      <c r="AH43" s="2785"/>
      <c r="AI43" s="19"/>
      <c r="AJ43" s="1082"/>
      <c r="AK43" s="1083"/>
      <c r="AL43" s="1082"/>
      <c r="AM43" s="1082"/>
      <c r="AO43" s="2787"/>
    </row>
    <row r="44" spans="1:41" ht="20.399999999999999" customHeight="1" thickBot="1" x14ac:dyDescent="0.25">
      <c r="B44" s="3357"/>
      <c r="C44" s="1350">
        <f t="shared" si="1"/>
        <v>37</v>
      </c>
      <c r="D44" s="1193" t="s">
        <v>588</v>
      </c>
      <c r="E44" s="1334"/>
      <c r="F44" s="1451"/>
      <c r="G44" s="1451"/>
      <c r="H44" s="1451"/>
      <c r="I44" s="1451"/>
      <c r="J44" s="1451"/>
      <c r="K44" s="1451"/>
      <c r="L44" s="1209"/>
      <c r="M44" s="1449">
        <f>SUM(M38:M43)</f>
        <v>676.96829033333347</v>
      </c>
      <c r="N44" s="1449">
        <f>SUM(N38:N43)</f>
        <v>726.96829033333347</v>
      </c>
      <c r="O44" s="1452">
        <f>SUM(O38:O43)</f>
        <v>776.96829033333347</v>
      </c>
      <c r="P44" s="163"/>
      <c r="AD44" s="2785"/>
      <c r="AE44" s="2785"/>
      <c r="AF44" s="163"/>
      <c r="AG44" s="159"/>
      <c r="AH44" s="163"/>
      <c r="AI44" s="163"/>
      <c r="AJ44" s="1082"/>
      <c r="AK44" s="1083"/>
      <c r="AL44" s="1082"/>
      <c r="AM44" s="1082"/>
      <c r="AO44" s="2787"/>
    </row>
    <row r="45" spans="1:41" ht="5.95" customHeight="1" thickBot="1" x14ac:dyDescent="0.25">
      <c r="B45" s="1327"/>
      <c r="C45" s="1450"/>
      <c r="D45" s="9"/>
      <c r="F45" s="9"/>
      <c r="G45" s="9"/>
      <c r="H45" s="9"/>
      <c r="I45" s="9"/>
      <c r="J45" s="9"/>
      <c r="K45" s="9"/>
      <c r="L45" s="1198"/>
      <c r="M45" s="1314"/>
      <c r="N45" s="1498"/>
      <c r="O45" s="1441"/>
      <c r="P45" s="163"/>
      <c r="AD45" s="2785"/>
      <c r="AE45" s="2785"/>
      <c r="AF45" s="163"/>
      <c r="AG45" s="159"/>
      <c r="AH45" s="163"/>
      <c r="AI45" s="163"/>
      <c r="AJ45" s="1082"/>
      <c r="AK45" s="1083"/>
      <c r="AL45" s="1082"/>
      <c r="AM45" s="1082"/>
      <c r="AO45" s="2787"/>
    </row>
    <row r="46" spans="1:41" ht="18.7" customHeight="1" x14ac:dyDescent="0.2">
      <c r="B46" s="3355" t="s">
        <v>30</v>
      </c>
      <c r="C46" s="1448">
        <f>C44+1</f>
        <v>38</v>
      </c>
      <c r="D46" s="1461" t="s">
        <v>555</v>
      </c>
      <c r="E46" s="1462"/>
      <c r="F46" s="1195"/>
      <c r="G46" s="1195"/>
      <c r="H46" s="1195"/>
      <c r="I46" s="1195"/>
      <c r="J46" s="1195"/>
      <c r="K46" s="1195"/>
      <c r="L46" s="1215"/>
      <c r="M46" s="1316"/>
      <c r="N46" s="1316"/>
      <c r="O46" s="1317"/>
      <c r="P46" s="163"/>
      <c r="AD46" s="2785"/>
      <c r="AE46" s="2785"/>
      <c r="AF46" s="163"/>
      <c r="AG46" s="159"/>
      <c r="AH46" s="163"/>
      <c r="AI46" s="163"/>
      <c r="AJ46" s="1082"/>
      <c r="AK46" s="1083"/>
      <c r="AL46" s="1082"/>
      <c r="AM46" s="1082"/>
      <c r="AO46" s="2787"/>
    </row>
    <row r="47" spans="1:41" ht="18.7" customHeight="1" thickBot="1" x14ac:dyDescent="0.25">
      <c r="B47" s="3358"/>
      <c r="C47" s="1350">
        <f>C46+1</f>
        <v>39</v>
      </c>
      <c r="D47" s="1193" t="s">
        <v>589</v>
      </c>
      <c r="E47" s="1334"/>
      <c r="F47" s="1451"/>
      <c r="G47" s="1451"/>
      <c r="H47" s="1451"/>
      <c r="I47" s="1535"/>
      <c r="J47" s="1535"/>
      <c r="K47" s="1535"/>
      <c r="L47" s="1209" t="s">
        <v>154</v>
      </c>
      <c r="M47" s="1497">
        <f>M27+M31+M44</f>
        <v>676.96829033333347</v>
      </c>
      <c r="N47" s="1497">
        <f>N27+N31+N44</f>
        <v>726.96829033333347</v>
      </c>
      <c r="O47" s="1536">
        <f>O27+O31+O44</f>
        <v>776.96829033333347</v>
      </c>
      <c r="P47" s="163"/>
      <c r="AD47" s="9"/>
      <c r="AE47" s="9"/>
      <c r="AF47" s="9"/>
      <c r="AG47" s="9"/>
      <c r="AH47" s="9"/>
      <c r="AI47" s="19"/>
      <c r="AJ47" s="520"/>
      <c r="AK47" s="521"/>
      <c r="AL47" s="520"/>
      <c r="AM47" s="520"/>
      <c r="AO47" s="9"/>
    </row>
    <row r="48" spans="1:41" ht="18.7" customHeight="1" x14ac:dyDescent="0.2">
      <c r="B48" s="3358"/>
      <c r="C48" s="1448">
        <f>C47+1</f>
        <v>40</v>
      </c>
      <c r="D48" s="1461" t="s">
        <v>590</v>
      </c>
      <c r="E48" s="1462"/>
      <c r="F48" s="1195"/>
      <c r="G48" s="1195"/>
      <c r="H48" s="1195"/>
      <c r="I48" s="1195"/>
      <c r="J48" s="1195"/>
      <c r="K48" s="1195"/>
      <c r="L48" s="1215" t="s">
        <v>154</v>
      </c>
      <c r="M48" s="1667">
        <f>M46-M47</f>
        <v>-676.96829033333347</v>
      </c>
      <c r="N48" s="1667">
        <f>N46-N47</f>
        <v>-726.96829033333347</v>
      </c>
      <c r="O48" s="1668">
        <f>O46-O47</f>
        <v>-776.96829033333347</v>
      </c>
      <c r="P48" s="163"/>
      <c r="AD48" s="9"/>
      <c r="AE48" s="9"/>
      <c r="AF48" s="9"/>
      <c r="AG48" s="9"/>
      <c r="AH48" s="237"/>
      <c r="AI48" s="237"/>
      <c r="AJ48" s="1082"/>
      <c r="AK48" s="1083"/>
      <c r="AL48" s="1082"/>
      <c r="AM48" s="1082"/>
      <c r="AO48" s="9"/>
    </row>
    <row r="49" spans="1:68" s="1446" customFormat="1" ht="18.7" customHeight="1" x14ac:dyDescent="0.2">
      <c r="A49" s="645"/>
      <c r="B49" s="3358"/>
      <c r="C49" s="1369">
        <f>C48+1</f>
        <v>41</v>
      </c>
      <c r="D49" s="1543" t="s">
        <v>569</v>
      </c>
      <c r="E49" s="1463"/>
      <c r="F49" s="1464"/>
      <c r="G49" s="1464"/>
      <c r="H49" s="1464"/>
      <c r="I49" s="1465"/>
      <c r="J49" s="1465"/>
      <c r="K49" s="1465"/>
      <c r="L49" s="1466" t="s">
        <v>154</v>
      </c>
      <c r="M49" s="1664">
        <f>M17</f>
        <v>550</v>
      </c>
      <c r="N49" s="1665">
        <f>N17</f>
        <v>550</v>
      </c>
      <c r="O49" s="1666">
        <f>O17</f>
        <v>550</v>
      </c>
      <c r="P49" s="1443"/>
      <c r="Q49" s="645"/>
      <c r="R49" s="645"/>
      <c r="S49" s="645"/>
      <c r="T49" s="645"/>
      <c r="U49" s="645"/>
      <c r="V49" s="645"/>
      <c r="W49" s="645"/>
      <c r="X49" s="645"/>
      <c r="Y49" s="645"/>
      <c r="Z49" s="645"/>
      <c r="AA49" s="645"/>
      <c r="AB49" s="645"/>
      <c r="AC49" s="645"/>
      <c r="AD49" s="1442"/>
      <c r="AE49" s="1442"/>
      <c r="AF49" s="1442"/>
      <c r="AG49" s="1442"/>
      <c r="AH49" s="2785"/>
      <c r="AI49" s="2785"/>
      <c r="AJ49" s="1444"/>
      <c r="AK49" s="1445"/>
      <c r="AL49" s="1444"/>
      <c r="AM49" s="1444"/>
      <c r="AN49" s="645"/>
      <c r="AO49" s="1442"/>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row>
    <row r="50" spans="1:68" ht="18.7" customHeight="1" thickBot="1" x14ac:dyDescent="0.25">
      <c r="B50" s="3359"/>
      <c r="C50" s="1350">
        <f>C49+1</f>
        <v>42</v>
      </c>
      <c r="D50" s="1467" t="s">
        <v>591</v>
      </c>
      <c r="E50" s="1334"/>
      <c r="F50" s="1451"/>
      <c r="G50" s="1451"/>
      <c r="H50" s="1451"/>
      <c r="I50" s="1451"/>
      <c r="J50" s="1451"/>
      <c r="K50" s="1451"/>
      <c r="L50" s="1209" t="s">
        <v>154</v>
      </c>
      <c r="M50" s="1449">
        <f>M48+M49</f>
        <v>-126.96829033333347</v>
      </c>
      <c r="N50" s="1449">
        <f>N48+N49</f>
        <v>-176.96829033333347</v>
      </c>
      <c r="O50" s="1452">
        <f>O48+O49</f>
        <v>-226.96829033333347</v>
      </c>
      <c r="P50" s="163"/>
      <c r="AD50" s="9"/>
      <c r="AE50" s="9"/>
      <c r="AF50" s="9"/>
      <c r="AG50" s="9"/>
      <c r="AH50" s="237"/>
      <c r="AI50" s="237"/>
      <c r="AJ50" s="1082"/>
      <c r="AK50" s="1083"/>
      <c r="AL50" s="1082"/>
      <c r="AM50" s="1082"/>
      <c r="AO50" s="9"/>
    </row>
    <row r="51" spans="1:68" s="7" customFormat="1" ht="7.15" customHeight="1" thickBot="1" x14ac:dyDescent="0.25">
      <c r="B51" s="1468"/>
      <c r="C51" s="1450"/>
      <c r="D51" s="1475"/>
      <c r="E51" s="1471"/>
      <c r="F51" s="1472"/>
      <c r="G51" s="1472"/>
      <c r="H51" s="1472"/>
      <c r="I51" s="1472"/>
      <c r="J51" s="1472"/>
      <c r="K51" s="1472"/>
      <c r="L51" s="1370"/>
      <c r="M51" s="1500"/>
      <c r="N51" s="1500"/>
      <c r="O51" s="1500"/>
      <c r="P51" s="163"/>
      <c r="AD51" s="9"/>
      <c r="AE51" s="9"/>
      <c r="AF51" s="9"/>
      <c r="AG51" s="9"/>
      <c r="AH51" s="237"/>
      <c r="AI51" s="237"/>
      <c r="AJ51" s="1082"/>
      <c r="AK51" s="1083"/>
      <c r="AL51" s="1082"/>
      <c r="AM51" s="1082"/>
      <c r="AO51" s="9"/>
    </row>
    <row r="52" spans="1:68" ht="18" customHeight="1" x14ac:dyDescent="0.2">
      <c r="B52" s="3397"/>
      <c r="C52" s="1448">
        <f>C50+1</f>
        <v>43</v>
      </c>
      <c r="D52" s="1333" t="s">
        <v>578</v>
      </c>
      <c r="E52" s="1462"/>
      <c r="F52" s="1195"/>
      <c r="G52" s="1195"/>
      <c r="H52" s="1195"/>
      <c r="I52" s="1195"/>
      <c r="J52" s="1462"/>
      <c r="K52" s="1462"/>
      <c r="L52" s="1215" t="s">
        <v>154</v>
      </c>
      <c r="M52" s="1315">
        <f>M47-M49</f>
        <v>126.96829033333347</v>
      </c>
      <c r="N52" s="1315">
        <f>N47-N49</f>
        <v>176.96829033333347</v>
      </c>
      <c r="O52" s="2149">
        <f>O47-O49</f>
        <v>226.96829033333347</v>
      </c>
      <c r="P52" s="163"/>
      <c r="AD52" s="2785"/>
      <c r="AE52" s="2785"/>
      <c r="AF52" s="2785"/>
      <c r="AG52" s="2785"/>
      <c r="AH52" s="2787"/>
      <c r="AI52" s="19"/>
      <c r="AJ52" s="1082"/>
      <c r="AK52" s="1083"/>
      <c r="AL52" s="1082"/>
      <c r="AM52" s="1082"/>
      <c r="AO52" s="9"/>
    </row>
    <row r="53" spans="1:68" ht="16.5" customHeight="1" x14ac:dyDescent="0.2">
      <c r="B53" s="3356"/>
      <c r="C53" s="1349">
        <f t="shared" ref="C53:C63" si="2">C52+1</f>
        <v>44</v>
      </c>
      <c r="D53" s="1188"/>
      <c r="E53" s="1318"/>
      <c r="F53" s="1182"/>
      <c r="G53" s="1182"/>
      <c r="H53" s="1182"/>
      <c r="I53" s="1294"/>
      <c r="J53" s="1294"/>
      <c r="L53" s="1370" t="s">
        <v>101</v>
      </c>
      <c r="M53" s="1739">
        <f>IF(M10=0,0,M$52/M10)</f>
        <v>0</v>
      </c>
      <c r="N53" s="1740">
        <f>IF(N10=0,0,N$52/N10)</f>
        <v>0</v>
      </c>
      <c r="O53" s="1741">
        <f>IF(O10=0,0,O$52/O10)</f>
        <v>0</v>
      </c>
      <c r="P53" s="163"/>
      <c r="AD53" s="2785"/>
      <c r="AE53" s="2785"/>
      <c r="AF53" s="2785"/>
      <c r="AG53" s="2785"/>
      <c r="AH53" s="2787"/>
      <c r="AI53" s="19"/>
      <c r="AJ53" s="1082"/>
      <c r="AK53" s="1083"/>
      <c r="AL53" s="1082"/>
      <c r="AM53" s="1082"/>
      <c r="AO53" s="9"/>
    </row>
    <row r="54" spans="1:68" ht="16.5" customHeight="1" x14ac:dyDescent="0.2">
      <c r="B54" s="3356"/>
      <c r="C54" s="1349">
        <f t="shared" si="2"/>
        <v>45</v>
      </c>
      <c r="E54" s="1375" t="s">
        <v>318</v>
      </c>
      <c r="G54" s="1182"/>
      <c r="H54" s="1182"/>
      <c r="I54" s="1294"/>
      <c r="J54" s="1294"/>
      <c r="K54" s="1473"/>
      <c r="L54" s="1370" t="s">
        <v>464</v>
      </c>
      <c r="M54" s="1739">
        <f>IF(M9=0,0,M$52/M9)</f>
        <v>1.6929105377777796</v>
      </c>
      <c r="N54" s="1740">
        <f>IF(N9=0,0,N$52/N9)</f>
        <v>1.7696829033333348</v>
      </c>
      <c r="O54" s="1741">
        <f>IF(O9=0,0,O$52/O9)</f>
        <v>1.8157463226666677</v>
      </c>
      <c r="P54" s="163"/>
      <c r="AD54" s="2785"/>
      <c r="AE54" s="2785"/>
      <c r="AF54" s="2785"/>
      <c r="AG54" s="2785"/>
      <c r="AH54" s="2787"/>
      <c r="AI54" s="19"/>
      <c r="AJ54" s="1082"/>
      <c r="AK54" s="1083"/>
      <c r="AL54" s="1082"/>
      <c r="AM54" s="1082"/>
      <c r="AO54" s="9"/>
    </row>
    <row r="55" spans="1:68" ht="16.5" customHeight="1" x14ac:dyDescent="0.2">
      <c r="B55" s="3356"/>
      <c r="C55" s="1349">
        <f t="shared" si="2"/>
        <v>46</v>
      </c>
      <c r="E55" s="1501" t="s">
        <v>592</v>
      </c>
      <c r="F55" s="1472"/>
      <c r="G55" s="1472"/>
      <c r="H55" s="1472"/>
      <c r="I55" s="1473"/>
      <c r="J55" s="1473"/>
      <c r="K55" s="1473"/>
      <c r="L55" s="1370" t="s">
        <v>374</v>
      </c>
      <c r="M55" s="1739">
        <f t="shared" ref="M55:O57" si="3">IF(M11=0,0,M$52/M11)</f>
        <v>0</v>
      </c>
      <c r="N55" s="1740">
        <f t="shared" si="3"/>
        <v>0</v>
      </c>
      <c r="O55" s="1741">
        <f t="shared" si="3"/>
        <v>0</v>
      </c>
      <c r="P55" s="163"/>
      <c r="AD55" s="2785"/>
      <c r="AE55" s="2785"/>
      <c r="AF55" s="2785"/>
      <c r="AG55" s="2785"/>
      <c r="AH55" s="2787"/>
      <c r="AI55" s="19"/>
      <c r="AJ55" s="1082"/>
      <c r="AK55" s="1083"/>
      <c r="AL55" s="1082"/>
      <c r="AM55" s="1082"/>
      <c r="AO55" s="9"/>
    </row>
    <row r="56" spans="1:68" ht="16.5" customHeight="1" x14ac:dyDescent="0.2">
      <c r="B56" s="3356"/>
      <c r="C56" s="1349">
        <f t="shared" si="2"/>
        <v>47</v>
      </c>
      <c r="D56" s="1474"/>
      <c r="E56" s="1476"/>
      <c r="F56" s="1477"/>
      <c r="G56" s="1477"/>
      <c r="H56" s="1477"/>
      <c r="I56" s="1473"/>
      <c r="J56" s="1473"/>
      <c r="K56" s="1473"/>
      <c r="L56" s="1370" t="s">
        <v>158</v>
      </c>
      <c r="M56" s="1658">
        <f t="shared" si="3"/>
        <v>0</v>
      </c>
      <c r="N56" s="1659">
        <f t="shared" si="3"/>
        <v>0</v>
      </c>
      <c r="O56" s="1660">
        <f t="shared" si="3"/>
        <v>0</v>
      </c>
      <c r="P56" s="163"/>
      <c r="AD56" s="104"/>
      <c r="AE56" s="104"/>
      <c r="AF56" s="104"/>
      <c r="AG56" s="104"/>
      <c r="AH56" s="239"/>
      <c r="AI56" s="19"/>
      <c r="AJ56" s="1084"/>
      <c r="AK56" s="1085"/>
      <c r="AL56" s="1084"/>
      <c r="AM56" s="1084"/>
      <c r="AO56" s="9"/>
    </row>
    <row r="57" spans="1:68" ht="16.5" customHeight="1" x14ac:dyDescent="0.2">
      <c r="B57" s="3356"/>
      <c r="C57" s="1349">
        <f t="shared" si="2"/>
        <v>48</v>
      </c>
      <c r="D57" s="1474"/>
      <c r="E57" s="2165"/>
      <c r="F57" s="1477"/>
      <c r="G57" s="1477"/>
      <c r="H57" s="1477"/>
      <c r="I57" s="1473"/>
      <c r="J57" s="1473"/>
      <c r="K57" s="1473"/>
      <c r="L57" s="1370" t="s">
        <v>159</v>
      </c>
      <c r="M57" s="1658">
        <f t="shared" si="3"/>
        <v>0</v>
      </c>
      <c r="N57" s="1659">
        <f t="shared" si="3"/>
        <v>0</v>
      </c>
      <c r="O57" s="1660">
        <f t="shared" si="3"/>
        <v>0</v>
      </c>
      <c r="P57" s="163"/>
      <c r="AD57" s="104"/>
      <c r="AE57" s="104"/>
      <c r="AF57" s="104"/>
      <c r="AG57" s="104"/>
      <c r="AH57" s="239"/>
      <c r="AI57" s="19"/>
      <c r="AJ57" s="1084"/>
      <c r="AK57" s="1085"/>
      <c r="AL57" s="1084"/>
      <c r="AM57" s="1084"/>
      <c r="AO57" s="9"/>
    </row>
    <row r="58" spans="1:68" ht="16.5" customHeight="1" x14ac:dyDescent="0.2">
      <c r="B58" s="3356"/>
      <c r="C58" s="1372">
        <f t="shared" si="2"/>
        <v>49</v>
      </c>
      <c r="D58" s="1478"/>
      <c r="E58" s="2164" t="s">
        <v>571</v>
      </c>
      <c r="F58" s="2148">
        <v>36</v>
      </c>
      <c r="G58" s="379" t="s">
        <v>579</v>
      </c>
      <c r="H58" s="1480"/>
      <c r="I58" s="1481"/>
      <c r="J58" s="1481"/>
      <c r="K58" s="1481"/>
      <c r="L58" s="1482" t="s">
        <v>583</v>
      </c>
      <c r="M58" s="1661" t="e">
        <f>M52/$M$12*10/$F$58</f>
        <v>#DIV/0!</v>
      </c>
      <c r="N58" s="1662" t="e">
        <f>N52/$N$12*10/$F$58</f>
        <v>#DIV/0!</v>
      </c>
      <c r="O58" s="1663" t="e">
        <f>O52/$O$12*10/$F$58</f>
        <v>#DIV/0!</v>
      </c>
      <c r="P58" s="163"/>
      <c r="AD58" s="104"/>
      <c r="AE58" s="104"/>
      <c r="AF58" s="104"/>
      <c r="AG58" s="104"/>
      <c r="AH58" s="239"/>
      <c r="AI58" s="19"/>
      <c r="AJ58" s="1084"/>
      <c r="AK58" s="1085"/>
      <c r="AL58" s="1084"/>
      <c r="AM58" s="1084"/>
      <c r="AO58" s="9"/>
    </row>
    <row r="59" spans="1:68" s="291" customFormat="1" ht="21.25" customHeight="1" x14ac:dyDescent="0.2">
      <c r="B59" s="3356"/>
      <c r="C59" s="1349">
        <f t="shared" si="2"/>
        <v>50</v>
      </c>
      <c r="D59" s="1185" t="s">
        <v>580</v>
      </c>
      <c r="E59" s="1484"/>
      <c r="F59" s="1182"/>
      <c r="G59" s="1182"/>
      <c r="H59" s="1182"/>
      <c r="I59" s="1294"/>
      <c r="J59" s="1294"/>
      <c r="K59" s="1294"/>
      <c r="L59" s="1208" t="s">
        <v>154</v>
      </c>
      <c r="M59" s="1313">
        <f>M52-M39</f>
        <v>126.96829033333347</v>
      </c>
      <c r="N59" s="1313">
        <f>N52-N39</f>
        <v>176.96829033333347</v>
      </c>
      <c r="O59" s="1320">
        <f>O52-O39</f>
        <v>226.96829033333347</v>
      </c>
      <c r="P59" s="247"/>
      <c r="AD59" s="132"/>
      <c r="AE59" s="132"/>
      <c r="AF59" s="132"/>
      <c r="AG59" s="132"/>
      <c r="AH59" s="377"/>
      <c r="AI59" s="376"/>
      <c r="AJ59" s="1086"/>
      <c r="AK59" s="1086"/>
      <c r="AL59" s="1086"/>
      <c r="AM59" s="1086"/>
      <c r="AO59" s="373"/>
    </row>
    <row r="60" spans="1:68" s="291" customFormat="1" ht="16.5" customHeight="1" x14ac:dyDescent="0.2">
      <c r="B60" s="3356"/>
      <c r="C60" s="1349">
        <f t="shared" si="2"/>
        <v>51</v>
      </c>
      <c r="D60" s="1185"/>
      <c r="E60" s="2172" t="s">
        <v>593</v>
      </c>
      <c r="F60" s="1182"/>
      <c r="G60" s="1182"/>
      <c r="H60" s="1182"/>
      <c r="I60" s="1294"/>
      <c r="J60" s="1294"/>
      <c r="K60" s="1294"/>
      <c r="L60" s="1208" t="s">
        <v>464</v>
      </c>
      <c r="M60" s="2166">
        <f>M59/M7</f>
        <v>1.6929105377777796</v>
      </c>
      <c r="N60" s="2166">
        <f>N59/N7</f>
        <v>1.7696829033333348</v>
      </c>
      <c r="O60" s="2167">
        <f>O59/O7</f>
        <v>1.8157463226666677</v>
      </c>
      <c r="P60" s="247"/>
      <c r="AD60" s="132"/>
      <c r="AE60" s="132"/>
      <c r="AF60" s="132"/>
      <c r="AG60" s="132"/>
      <c r="AH60" s="377"/>
      <c r="AI60" s="376"/>
      <c r="AJ60" s="1086"/>
      <c r="AK60" s="1086"/>
      <c r="AL60" s="1086"/>
      <c r="AM60" s="1086"/>
      <c r="AO60" s="373"/>
    </row>
    <row r="61" spans="1:68" s="371" customFormat="1" ht="16.5" customHeight="1" x14ac:dyDescent="0.2">
      <c r="A61" s="291"/>
      <c r="B61" s="3356"/>
      <c r="C61" s="1349">
        <f t="shared" si="2"/>
        <v>52</v>
      </c>
      <c r="D61" s="1475"/>
      <c r="E61" s="1471"/>
      <c r="F61" s="1476"/>
      <c r="G61" s="1476"/>
      <c r="H61" s="1476"/>
      <c r="I61" s="1965"/>
      <c r="J61" s="374"/>
      <c r="K61" s="374"/>
      <c r="L61" s="1214" t="s">
        <v>158</v>
      </c>
      <c r="M61" s="1656">
        <f>IF(M12=0,0,M$59/M12)</f>
        <v>0</v>
      </c>
      <c r="N61" s="1580">
        <f>IF(N12=0,0,N$59/N12)</f>
        <v>0</v>
      </c>
      <c r="O61" s="1657">
        <f>IF(O12=0,0,O$59/O12)</f>
        <v>0</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49">
        <f t="shared" si="2"/>
        <v>53</v>
      </c>
      <c r="D62" s="2169"/>
      <c r="E62" s="291"/>
      <c r="F62" s="291"/>
      <c r="G62" s="291"/>
      <c r="H62" s="375"/>
      <c r="I62" s="374"/>
      <c r="J62" s="374"/>
      <c r="K62" s="1473"/>
      <c r="L62" s="1214" t="s">
        <v>583</v>
      </c>
      <c r="M62" s="2170" t="e">
        <f>M59/$M$12*10/$F$58</f>
        <v>#DIV/0!</v>
      </c>
      <c r="N62" s="1580" t="e">
        <f>N59/$N$12*10/$F$58</f>
        <v>#DIV/0!</v>
      </c>
      <c r="O62" s="2171" t="e">
        <f>O59/$O$12*10/$F$58</f>
        <v>#DIV/0!</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371" customFormat="1" ht="16.5" customHeight="1" x14ac:dyDescent="0.2">
      <c r="A63" s="291"/>
      <c r="B63" s="3356"/>
      <c r="C63" s="1372">
        <f t="shared" si="2"/>
        <v>54</v>
      </c>
      <c r="D63" s="570"/>
      <c r="E63" s="2168"/>
      <c r="F63" s="379"/>
      <c r="G63" s="379"/>
      <c r="H63" s="379"/>
      <c r="I63" s="380"/>
      <c r="J63" s="380"/>
      <c r="K63" s="1481"/>
      <c r="L63" s="1216" t="s">
        <v>159</v>
      </c>
      <c r="M63" s="1487">
        <f>IF(M13=0,0,M$59/M13)</f>
        <v>0</v>
      </c>
      <c r="N63" s="1377">
        <f>IF(N13=0,0,N$59/N13)</f>
        <v>0</v>
      </c>
      <c r="O63" s="1488">
        <f>IF(O13=0,0,O$59/O13)</f>
        <v>0</v>
      </c>
      <c r="P63" s="247"/>
      <c r="Q63" s="291"/>
      <c r="R63" s="291"/>
      <c r="S63" s="291"/>
      <c r="T63" s="291"/>
      <c r="U63" s="291"/>
      <c r="V63" s="291"/>
      <c r="W63" s="291"/>
      <c r="X63" s="291"/>
      <c r="Y63" s="291"/>
      <c r="Z63" s="291"/>
      <c r="AA63" s="291"/>
      <c r="AB63" s="291"/>
      <c r="AC63" s="291"/>
      <c r="AD63" s="132"/>
      <c r="AE63" s="132"/>
      <c r="AF63" s="132"/>
      <c r="AG63" s="132"/>
      <c r="AH63" s="377"/>
      <c r="AI63" s="376"/>
      <c r="AJ63" s="1086"/>
      <c r="AK63" s="1086"/>
      <c r="AL63" s="1086"/>
      <c r="AM63" s="1086"/>
      <c r="AN63" s="291"/>
      <c r="AO63" s="373"/>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row>
    <row r="64" spans="1:68" s="291" customFormat="1" ht="10.55" customHeight="1" thickBot="1" x14ac:dyDescent="0.25">
      <c r="B64" s="3396"/>
      <c r="C64" s="1568"/>
      <c r="D64" s="966"/>
      <c r="F64" s="966"/>
      <c r="G64" s="966"/>
      <c r="H64" s="966"/>
      <c r="I64" s="1457"/>
      <c r="J64" s="1457"/>
      <c r="K64" s="1457"/>
      <c r="L64" s="1458"/>
      <c r="M64" s="1459"/>
      <c r="N64" s="1460"/>
      <c r="O64" s="1459"/>
      <c r="P64" s="247"/>
      <c r="AD64" s="132"/>
      <c r="AE64" s="132"/>
      <c r="AF64" s="132"/>
      <c r="AG64" s="132"/>
      <c r="AH64" s="377"/>
      <c r="AI64" s="376"/>
      <c r="AJ64" s="1086"/>
      <c r="AK64" s="1086"/>
      <c r="AL64" s="1086"/>
      <c r="AM64" s="1086"/>
      <c r="AO64" s="373"/>
    </row>
    <row r="65" spans="2:41" ht="16.5" customHeight="1" x14ac:dyDescent="0.2">
      <c r="B65" s="3356"/>
      <c r="C65" s="1448">
        <f>C63+1</f>
        <v>55</v>
      </c>
      <c r="D65" s="1461" t="s">
        <v>594</v>
      </c>
      <c r="E65" s="1462"/>
      <c r="F65" s="1333"/>
      <c r="G65" s="1333"/>
      <c r="H65" s="1333"/>
      <c r="I65" s="1333"/>
      <c r="J65" s="1333"/>
      <c r="K65" s="1333"/>
      <c r="L65" s="1215" t="s">
        <v>154</v>
      </c>
      <c r="M65" s="1316">
        <f>SUM(M19:M23)+M31</f>
        <v>0</v>
      </c>
      <c r="N65" s="1316">
        <f>SUM(N19:N23)+N31</f>
        <v>0</v>
      </c>
      <c r="O65" s="1317">
        <f>SUM(O19:O23)+O31</f>
        <v>0</v>
      </c>
      <c r="P65" s="163"/>
      <c r="AD65" s="2782"/>
      <c r="AE65" s="2782"/>
      <c r="AF65" s="2782"/>
      <c r="AG65" s="2782"/>
      <c r="AH65" s="2782"/>
      <c r="AI65" s="19"/>
      <c r="AJ65" s="520"/>
      <c r="AK65" s="521"/>
      <c r="AL65" s="520"/>
      <c r="AM65" s="520"/>
      <c r="AO65" s="2782"/>
    </row>
    <row r="66" spans="2:41" ht="16.5" customHeight="1" x14ac:dyDescent="0.2">
      <c r="B66" s="3356"/>
      <c r="C66" s="1372">
        <f>C65+1</f>
        <v>56</v>
      </c>
      <c r="D66" s="2791"/>
      <c r="E66" s="1486"/>
      <c r="F66" s="2791"/>
      <c r="G66" s="2791"/>
      <c r="H66" s="2791"/>
      <c r="I66" s="2791"/>
      <c r="J66" s="2791"/>
      <c r="K66" s="2791"/>
      <c r="L66" s="1482" t="s">
        <v>158</v>
      </c>
      <c r="M66" s="1487" t="e">
        <f>M65/M12</f>
        <v>#DIV/0!</v>
      </c>
      <c r="N66" s="1377" t="e">
        <f>N65/N12</f>
        <v>#DIV/0!</v>
      </c>
      <c r="O66" s="1488" t="e">
        <f>O65/O12</f>
        <v>#DIV/0!</v>
      </c>
      <c r="P66" s="163"/>
      <c r="AD66" s="2782"/>
      <c r="AE66" s="2782"/>
      <c r="AF66" s="2782"/>
      <c r="AG66" s="2782"/>
      <c r="AH66" s="2782"/>
      <c r="AI66" s="19"/>
      <c r="AJ66" s="520"/>
      <c r="AK66" s="521"/>
      <c r="AL66" s="520"/>
      <c r="AM66" s="520"/>
      <c r="AO66" s="2782"/>
    </row>
    <row r="67" spans="2:41" ht="16.5" customHeight="1" x14ac:dyDescent="0.2">
      <c r="B67" s="3356"/>
      <c r="C67" s="1349">
        <f>C66+1</f>
        <v>57</v>
      </c>
      <c r="D67" s="1492" t="s">
        <v>595</v>
      </c>
      <c r="E67" s="1378"/>
      <c r="F67" s="1493"/>
      <c r="G67" s="1493"/>
      <c r="H67" s="1493"/>
      <c r="I67" s="1493"/>
      <c r="J67" s="1493"/>
      <c r="K67" s="1493"/>
      <c r="L67" s="1332" t="s">
        <v>154</v>
      </c>
      <c r="M67" s="1494">
        <f>N24+M25+M26+M40+M38</f>
        <v>293.19454033333335</v>
      </c>
      <c r="N67" s="1494">
        <f>N24+N25+N26+N40+N38</f>
        <v>293.19454033333335</v>
      </c>
      <c r="O67" s="1495">
        <f>O24+O25+O26+O40+O38</f>
        <v>293.19454033333335</v>
      </c>
      <c r="P67" s="163"/>
      <c r="AD67" s="2782"/>
      <c r="AE67" s="2782"/>
      <c r="AF67" s="2782"/>
      <c r="AG67" s="2782"/>
      <c r="AH67" s="2782"/>
      <c r="AI67" s="19"/>
      <c r="AJ67" s="520"/>
      <c r="AK67" s="521"/>
      <c r="AL67" s="520"/>
      <c r="AM67" s="520"/>
      <c r="AO67" s="2782"/>
    </row>
    <row r="68" spans="2:41" ht="14.95" customHeight="1" thickBot="1" x14ac:dyDescent="0.25">
      <c r="B68" s="3357"/>
      <c r="C68" s="1350">
        <f>C67+1</f>
        <v>58</v>
      </c>
      <c r="D68" s="1489" t="s">
        <v>596</v>
      </c>
      <c r="E68" s="1490"/>
      <c r="F68" s="1490"/>
      <c r="G68" s="1490"/>
      <c r="H68" s="1490"/>
      <c r="I68" s="1490"/>
      <c r="J68" s="1490"/>
      <c r="K68" s="1490"/>
      <c r="L68" s="1491" t="s">
        <v>158</v>
      </c>
      <c r="M68" s="1614" t="e">
        <f>M67/M12</f>
        <v>#DIV/0!</v>
      </c>
      <c r="N68" s="1612" t="e">
        <f>N67/N12</f>
        <v>#DIV/0!</v>
      </c>
      <c r="O68" s="1631" t="e">
        <f>O67/O12</f>
        <v>#DIV/0!</v>
      </c>
      <c r="P68" s="163"/>
      <c r="AD68" s="2785"/>
      <c r="AE68" s="2785"/>
      <c r="AF68" s="2785"/>
      <c r="AG68" s="2785"/>
      <c r="AH68" s="2785"/>
      <c r="AI68" s="19"/>
      <c r="AJ68" s="1082"/>
      <c r="AK68" s="1083"/>
      <c r="AL68" s="1082"/>
      <c r="AM68" s="1082"/>
      <c r="AO68" s="2787"/>
    </row>
    <row r="69" spans="2:41" x14ac:dyDescent="0.2">
      <c r="C69" s="1312"/>
    </row>
    <row r="70" spans="2:41" x14ac:dyDescent="0.2">
      <c r="C70" s="7" t="s">
        <v>584</v>
      </c>
    </row>
    <row r="79" spans="2:41" x14ac:dyDescent="0.2">
      <c r="H79" s="1799"/>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row r="92" spans="5:29" x14ac:dyDescent="0.2">
      <c r="E92"/>
      <c r="F92"/>
      <c r="G92"/>
      <c r="H92"/>
      <c r="I92"/>
      <c r="J92"/>
      <c r="K92"/>
      <c r="L92" s="193"/>
      <c r="M92"/>
      <c r="N92"/>
      <c r="O92"/>
      <c r="P92" s="163"/>
      <c r="Q92" s="163"/>
      <c r="R92" s="163"/>
      <c r="S92" s="163"/>
      <c r="T92" s="163"/>
      <c r="U92" s="163"/>
      <c r="V92" s="163"/>
      <c r="W92" s="163"/>
      <c r="X92" s="163"/>
      <c r="Y92" s="163"/>
      <c r="Z92" s="163"/>
      <c r="AA92" s="163"/>
      <c r="AB92" s="163"/>
      <c r="AC92" s="163"/>
    </row>
  </sheetData>
  <sheetProtection sheet="1" objects="1" scenarios="1"/>
  <customSheetViews>
    <customSheetView guid="{32760361-675F-4FBF-A5CA-B0597C10371F}" showGridLines="0" zeroValues="0" fitToPage="1">
      <pane xSplit="12" ySplit="6" topLeftCell="M7" activePane="bottomRight" state="frozen"/>
      <selection pane="bottomRight" activeCell="M59" sqref="M59"/>
      <pageMargins left="0.51181102362204722" right="0.27559055118110237" top="0.55118110236220474" bottom="0.70866141732283472" header="0.51181102362204722" footer="0.31496062992125984"/>
      <printOptions horizontalCentered="1"/>
      <pageSetup paperSize="9" scale="70" firstPageNumber="15" orientation="portrait" useFirstPageNumber="1" horizontalDpi="300" verticalDpi="300" r:id="rId1"/>
      <headerFooter alignWithMargins="0">
        <oddFooter>&amp;L&amp;12LEL Schwäbisch Gmünd (Abtlg. II)
LAZBW Aulendorf&amp;C&amp;12 59&amp;9
&amp;R&amp;12&amp;F
&amp;A</oddFooter>
      </headerFooter>
    </customSheetView>
  </customSheetViews>
  <mergeCells count="12">
    <mergeCell ref="B28:B34"/>
    <mergeCell ref="D28:K28"/>
    <mergeCell ref="B36:B44"/>
    <mergeCell ref="B46:B50"/>
    <mergeCell ref="B52:B68"/>
    <mergeCell ref="B19:B27"/>
    <mergeCell ref="D19:D23"/>
    <mergeCell ref="E1:I1"/>
    <mergeCell ref="B2:B4"/>
    <mergeCell ref="G3:O3"/>
    <mergeCell ref="B6:B13"/>
    <mergeCell ref="B15:B17"/>
  </mergeCells>
  <hyperlinks>
    <hyperlink ref="E1:I1" location="Inhalt!A1:A10" display="zurück zum Inhaltsverzeichnis"/>
  </hyperlinks>
  <printOptions horizontalCentered="1"/>
  <pageMargins left="0.51181102362204722" right="0.27559055118110237" top="0.55118110236220474" bottom="0.70866141732283472" header="0.51181102362204722" footer="0.31496062992125984"/>
  <pageSetup paperSize="9" scale="70" firstPageNumber="15" orientation="portrait" useFirstPageNumber="1" horizontalDpi="300" verticalDpi="300" r:id="rId2"/>
  <headerFooter alignWithMargins="0">
    <oddFooter>&amp;L&amp;12LEL Schwäbisch Gmünd (Abtlg. II)
LAZBW Aulendorf&amp;C&amp;12 59&amp;9
&amp;R&amp;12&amp;F
&amp;A</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tabColor theme="8" tint="-0.249977111117893"/>
    <pageSetUpPr fitToPage="1"/>
  </sheetPr>
  <dimension ref="A1:CA73"/>
  <sheetViews>
    <sheetView showGridLines="0" showZeros="0" zoomScale="90" workbookViewId="0">
      <pane xSplit="10" ySplit="5" topLeftCell="K6"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2.9" x14ac:dyDescent="0.2"/>
  <cols>
    <col min="1" max="1" width="7.625" style="8" customWidth="1"/>
    <col min="2" max="2" width="8"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9.625" style="7" customWidth="1"/>
    <col min="15" max="15" width="8.625" style="291" customWidth="1"/>
    <col min="16" max="16" width="11.625" style="291" customWidth="1"/>
    <col min="17" max="17" width="20.37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5">
      <c r="A2" s="182" t="s">
        <v>387</v>
      </c>
      <c r="B2" s="183"/>
      <c r="C2" s="1829" t="s">
        <v>388</v>
      </c>
      <c r="D2" s="1830"/>
      <c r="E2" s="1111"/>
      <c r="F2" s="1111"/>
      <c r="G2" s="1831" t="s">
        <v>256</v>
      </c>
      <c r="H2" s="1836" t="e">
        <f>#REF!</f>
        <v>#REF!</v>
      </c>
      <c r="I2" s="1837" t="s">
        <v>490</v>
      </c>
      <c r="J2" s="1838">
        <f>Prämien!Y2</f>
        <v>2018</v>
      </c>
      <c r="K2" s="1839" t="s">
        <v>389</v>
      </c>
      <c r="L2" s="1111"/>
      <c r="M2" s="3407" t="s">
        <v>690</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687</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358">
        <v>40</v>
      </c>
      <c r="L5" s="359"/>
      <c r="M5" s="311">
        <v>50</v>
      </c>
      <c r="N5" s="1687"/>
      <c r="O5" s="311">
        <v>60</v>
      </c>
      <c r="P5" s="359"/>
      <c r="Q5" s="433" t="s">
        <v>688</v>
      </c>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v>5</v>
      </c>
      <c r="L6" s="581"/>
      <c r="M6" s="577">
        <v>5</v>
      </c>
      <c r="N6" s="581"/>
      <c r="O6" s="577">
        <v>5</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17</v>
      </c>
      <c r="L7" s="581">
        <v>17</v>
      </c>
      <c r="M7" s="577">
        <v>17</v>
      </c>
      <c r="N7" s="581">
        <v>17</v>
      </c>
      <c r="O7" s="577">
        <v>17</v>
      </c>
      <c r="P7" s="581">
        <v>17</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c r="L8" s="582">
        <v>5</v>
      </c>
      <c r="M8" s="578"/>
      <c r="N8" s="582">
        <v>5</v>
      </c>
      <c r="O8" s="578"/>
      <c r="P8" s="582">
        <v>5</v>
      </c>
      <c r="Q8" s="433" t="s">
        <v>689</v>
      </c>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415</v>
      </c>
      <c r="E9" s="293"/>
      <c r="F9" s="421"/>
      <c r="G9" s="293"/>
      <c r="H9" s="593" t="s">
        <v>416</v>
      </c>
      <c r="I9" s="594" t="s">
        <v>417</v>
      </c>
      <c r="J9" s="83" t="s">
        <v>418</v>
      </c>
      <c r="K9" s="595">
        <f>K5*(100-K6)/100</f>
        <v>38</v>
      </c>
      <c r="L9" s="596">
        <f>IF(K7=0,0,K9/K7*100)</f>
        <v>223.52941176470588</v>
      </c>
      <c r="M9" s="673">
        <f>M5*(100-M6)/100</f>
        <v>47.5</v>
      </c>
      <c r="N9" s="674">
        <f>IF(M7=0,0,M9/M7*100)</f>
        <v>279.41176470588232</v>
      </c>
      <c r="O9" s="595">
        <f>O5*(100-O6)/100</f>
        <v>57</v>
      </c>
      <c r="P9" s="596">
        <f>IF(O7=0,0,O9/O7*100)</f>
        <v>335.29411764705884</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131</v>
      </c>
      <c r="E11" s="163"/>
      <c r="F11" s="163"/>
      <c r="G11" s="163"/>
      <c r="H11" s="589" t="s">
        <v>416</v>
      </c>
      <c r="I11" s="591" t="s">
        <v>417</v>
      </c>
      <c r="J11" s="299" t="s">
        <v>418</v>
      </c>
      <c r="K11" s="583">
        <f>K9*(100-L6)/100</f>
        <v>38</v>
      </c>
      <c r="L11" s="584">
        <f>IF(L7=0,0,K11/L7*100)</f>
        <v>223.52941176470588</v>
      </c>
      <c r="M11" s="676">
        <f>M9*(100-N6)/100</f>
        <v>47.5</v>
      </c>
      <c r="N11" s="677">
        <f>IF(N7=0,0,M11/N7*100)</f>
        <v>279.41176470588232</v>
      </c>
      <c r="O11" s="583">
        <f>O9*(100-P6)/100</f>
        <v>57</v>
      </c>
      <c r="P11" s="584">
        <f>IF(P7=0,0,O11/P7*100)</f>
        <v>335.29411764705884</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44.705882352941181</v>
      </c>
      <c r="M12" s="666"/>
      <c r="N12" s="678">
        <f>IF(N8=0,0,1/N8*N11)</f>
        <v>55.882352941176464</v>
      </c>
      <c r="O12" s="414"/>
      <c r="P12" s="422">
        <f>IF(P8=0,0,1/P8*P11)</f>
        <v>67.058823529411768</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6.5</v>
      </c>
      <c r="L13" s="360"/>
      <c r="M13" s="419">
        <v>6.5</v>
      </c>
      <c r="N13" s="649"/>
      <c r="O13" s="419">
        <v>6.5</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10.833333333333334</v>
      </c>
      <c r="L14" s="360"/>
      <c r="M14" s="679">
        <f>M13/$G14</f>
        <v>10.833333333333334</v>
      </c>
      <c r="N14" s="649"/>
      <c r="O14" s="426">
        <f>O13/$G14</f>
        <v>10.833333333333334</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2470</v>
      </c>
      <c r="L15" s="360"/>
      <c r="M15" s="680">
        <f>M$11*M13*10</f>
        <v>3087.5</v>
      </c>
      <c r="N15" s="649"/>
      <c r="O15" s="417">
        <f>O$11*O13*10</f>
        <v>3705</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4116.666666666667</v>
      </c>
      <c r="L16" s="359"/>
      <c r="M16" s="681">
        <f>M$11*M14*10</f>
        <v>5145.8333333333339</v>
      </c>
      <c r="N16" s="370"/>
      <c r="O16" s="418">
        <f>O$11*O14*10</f>
        <v>6175</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105.71600000000001</v>
      </c>
      <c r="M27" s="669"/>
      <c r="N27" s="651">
        <f>SUM(N29:N30)</f>
        <v>105.71600000000001</v>
      </c>
      <c r="O27" s="272"/>
      <c r="P27" s="267">
        <f>SUM(P29:P30)</f>
        <v>105.71600000000001</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0.76</v>
      </c>
      <c r="I29" s="586">
        <f>H29*($H$27+100)/100</f>
        <v>0.81320000000000003</v>
      </c>
      <c r="J29" s="90"/>
      <c r="K29" s="382">
        <v>130</v>
      </c>
      <c r="L29" s="279">
        <f>$I29*K29</f>
        <v>105.71600000000001</v>
      </c>
      <c r="M29" s="382">
        <v>130</v>
      </c>
      <c r="N29" s="656">
        <f>$I29*M29</f>
        <v>105.71600000000001</v>
      </c>
      <c r="O29" s="382">
        <v>130</v>
      </c>
      <c r="P29" s="279">
        <f>$I29*O29</f>
        <v>105.71600000000001</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t="s">
        <v>455</v>
      </c>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269.31223199999999</v>
      </c>
      <c r="M31" s="683"/>
      <c r="N31" s="651">
        <f>SUM(N33:N36)-N17</f>
        <v>336.64029000000005</v>
      </c>
      <c r="O31" s="276"/>
      <c r="P31" s="267">
        <f>SUM(P33:P36)-P17</f>
        <v>403.96834799999999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427</v>
      </c>
      <c r="H32" s="326" t="s">
        <v>146</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725"/>
      <c r="B33" s="700"/>
      <c r="C33" s="103"/>
      <c r="D33" s="104" t="s">
        <v>206</v>
      </c>
      <c r="E33" s="330">
        <f>IF(Preise!$S$23=TRUE,Preise!M14,0)</f>
        <v>3.57</v>
      </c>
      <c r="F33"/>
      <c r="G33" s="320">
        <v>1.1100000000000001</v>
      </c>
      <c r="H33" s="327"/>
      <c r="I33"/>
      <c r="J33" s="163"/>
      <c r="K33" s="278">
        <f>G33*$K$9+H33</f>
        <v>42.180000000000007</v>
      </c>
      <c r="L33" s="279">
        <f>K33*$E33</f>
        <v>150.58260000000001</v>
      </c>
      <c r="M33" s="684">
        <f>G33*$M$9+H33</f>
        <v>52.725000000000001</v>
      </c>
      <c r="N33" s="656">
        <f>M33*$E33</f>
        <v>188.22825</v>
      </c>
      <c r="O33" s="278">
        <f>G33*$O$9+H33</f>
        <v>63.27</v>
      </c>
      <c r="P33" s="279">
        <f>O33*$E33</f>
        <v>225.87389999999999</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0.6</v>
      </c>
      <c r="H34" s="327"/>
      <c r="I34"/>
      <c r="J34" s="163"/>
      <c r="K34" s="278">
        <f>G34*$K$9+H34</f>
        <v>22.8</v>
      </c>
      <c r="L34" s="279">
        <f>K34*$E34</f>
        <v>59.147760000000005</v>
      </c>
      <c r="M34" s="684">
        <f>G34*$M$9+H34</f>
        <v>28.5</v>
      </c>
      <c r="N34" s="656">
        <f>M34*$E34</f>
        <v>73.934700000000007</v>
      </c>
      <c r="O34" s="278">
        <f>G34*$O$9+H34</f>
        <v>34.199999999999996</v>
      </c>
      <c r="P34" s="279">
        <f>O34*$E34</f>
        <v>88.721639999999994</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1.37</v>
      </c>
      <c r="H35" s="327"/>
      <c r="I35"/>
      <c r="J35" s="163"/>
      <c r="K35" s="278">
        <f>G35*$K$9+H35</f>
        <v>52.06</v>
      </c>
      <c r="L35" s="279">
        <f>K35*$E35</f>
        <v>48.322092000000005</v>
      </c>
      <c r="M35" s="684">
        <f>G35*$M$9+H35</f>
        <v>65.075000000000003</v>
      </c>
      <c r="N35" s="656">
        <f>M35*$E35</f>
        <v>60.402615000000004</v>
      </c>
      <c r="O35" s="278">
        <f>G35*$O$9+H35</f>
        <v>78.09</v>
      </c>
      <c r="P35" s="279">
        <f>O35*$E35</f>
        <v>72.483138000000011</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0.15</v>
      </c>
      <c r="H36" s="328"/>
      <c r="I36" s="36"/>
      <c r="J36" s="36"/>
      <c r="K36" s="280">
        <f>G36*$K$9+H36</f>
        <v>5.7</v>
      </c>
      <c r="L36" s="275">
        <f>K36*$E36</f>
        <v>11.259779999999999</v>
      </c>
      <c r="M36" s="685">
        <f>G36*$M$9+H36</f>
        <v>7.125</v>
      </c>
      <c r="N36" s="657">
        <f>M36*$E36</f>
        <v>14.074724999999999</v>
      </c>
      <c r="O36" s="280">
        <f>G36*$O$9+H36</f>
        <v>8.5499999999999989</v>
      </c>
      <c r="P36" s="275">
        <f>O36*$E36</f>
        <v>16.889669999999995</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c r="J39" s="113"/>
      <c r="K39" s="156"/>
      <c r="L39" s="279"/>
      <c r="M39" s="156"/>
      <c r="N39" s="656"/>
      <c r="O39" s="156"/>
      <c r="P39" s="279"/>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c r="J40" s="113"/>
      <c r="K40" s="156"/>
      <c r="L40" s="279"/>
      <c r="M40" s="156"/>
      <c r="N40" s="656"/>
      <c r="O40" s="156"/>
      <c r="P40" s="279"/>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c r="J41" s="94"/>
      <c r="K41" s="157"/>
      <c r="L41" s="275"/>
      <c r="M41" s="157"/>
      <c r="N41" s="657"/>
      <c r="O41" s="157"/>
      <c r="P41" s="275"/>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#VALUE!</v>
      </c>
      <c r="M42" s="687"/>
      <c r="N42" s="651" t="e">
        <f>SUM(W45:W55)</f>
        <v>#VALUE!</v>
      </c>
      <c r="O42" s="367"/>
      <c r="P42" s="267" t="e">
        <f>SUM(Z45:Z55)</f>
        <v>#VALUE!</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110" t="s">
        <v>161</v>
      </c>
      <c r="J44" s="110" t="s">
        <v>154</v>
      </c>
      <c r="K44" s="314"/>
      <c r="L44" s="277" t="s">
        <v>154</v>
      </c>
      <c r="M44" s="689" t="s">
        <v>185</v>
      </c>
      <c r="N44" s="655" t="s">
        <v>154</v>
      </c>
      <c r="O44" s="314" t="s">
        <v>185</v>
      </c>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174"/>
      <c r="D45" s="132"/>
      <c r="E45" s="8"/>
      <c r="F45" s="8"/>
      <c r="G45" s="607"/>
      <c r="H45" s="602">
        <f>IF($B45=0,0,VLOOKUP($B45,Arbeitsgänge!$B$27:$T$79,7))</f>
        <v>0</v>
      </c>
      <c r="I45" s="603">
        <f>IF($B45=0,0,VLOOKUP($B45,Arbeitsgänge!$B$27:$T$79,12))</f>
        <v>26.338674124000004</v>
      </c>
      <c r="J45" s="401" t="str">
        <f>IF($B45=0,0,VLOOKUP($B45,Arbeitsgänge!$B$27:$T$79,14))</f>
        <v>KTBL (2016/17): S. 91+170</v>
      </c>
      <c r="K45" s="315">
        <v>1</v>
      </c>
      <c r="L45" s="279" t="e">
        <f t="shared" ref="L45:L55" si="0">K45*$J45</f>
        <v>#VALUE!</v>
      </c>
      <c r="M45" s="315">
        <v>1</v>
      </c>
      <c r="N45" s="656" t="e">
        <f t="shared" ref="N45:N55" si="1">M45*$J45</f>
        <v>#VALUE!</v>
      </c>
      <c r="O45" s="315">
        <v>1</v>
      </c>
      <c r="P45" s="279" t="e">
        <f t="shared" ref="P45:P55" si="2">O45*$J45</f>
        <v>#VALUE!</v>
      </c>
      <c r="Q45" s="436"/>
      <c r="R45" s="1060">
        <f t="shared" ref="R45:R55" si="3">$I45*K45</f>
        <v>26.338674124000004</v>
      </c>
      <c r="S45" s="443" t="e">
        <f>K45*#REF!</f>
        <v>#REF!</v>
      </c>
      <c r="T45" s="225" t="e">
        <f t="shared" ref="T45:T55" si="4">K45*$J45</f>
        <v>#VALUE!</v>
      </c>
      <c r="U45" s="1061">
        <f t="shared" ref="U45:U55" si="5">$I45*M45</f>
        <v>26.338674124000004</v>
      </c>
      <c r="V45" s="1062" t="e">
        <f>M45*#REF!</f>
        <v>#REF!</v>
      </c>
      <c r="W45" s="691" t="e">
        <f t="shared" ref="W45:W55" si="6">M45*$J45</f>
        <v>#VALUE!</v>
      </c>
      <c r="X45" s="1063">
        <f t="shared" ref="X45:X55" si="7">$I45*O45</f>
        <v>26.338674124000004</v>
      </c>
      <c r="Y45" s="443" t="e">
        <f>O45*#REF!</f>
        <v>#REF!</v>
      </c>
      <c r="Z45" s="225" t="e">
        <f t="shared" ref="Z45:Z55" si="8">O45*$J45</f>
        <v>#VALUE!</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174"/>
      <c r="D46" s="132"/>
      <c r="E46" s="8"/>
      <c r="F46" s="8"/>
      <c r="G46" s="607"/>
      <c r="H46" s="602" t="e">
        <f>IF($B46=0,0,VLOOKUP($B46,Arbeitsgänge!$B$27:$T$79,7))</f>
        <v>#N/A</v>
      </c>
      <c r="I46" s="603" t="e">
        <f>IF($B46=0,0,VLOOKUP($B46,Arbeitsgänge!$B$27:$T$79,12))</f>
        <v>#N/A</v>
      </c>
      <c r="J46" s="401" t="e">
        <f>IF($B46=0,0,VLOOKUP($B46,Arbeitsgänge!$B$27:$T$79,14))</f>
        <v>#N/A</v>
      </c>
      <c r="K46" s="316">
        <v>1</v>
      </c>
      <c r="L46" s="279" t="e">
        <f t="shared" si="0"/>
        <v>#N/A</v>
      </c>
      <c r="M46" s="316">
        <v>1</v>
      </c>
      <c r="N46" s="656" t="e">
        <f t="shared" si="1"/>
        <v>#N/A</v>
      </c>
      <c r="O46" s="316">
        <v>1</v>
      </c>
      <c r="P46" s="279" t="e">
        <f t="shared" si="2"/>
        <v>#N/A</v>
      </c>
      <c r="Q46" s="436"/>
      <c r="R46" s="1064" t="e">
        <f t="shared" si="3"/>
        <v>#N/A</v>
      </c>
      <c r="S46" s="402" t="e">
        <f>K46*#REF!</f>
        <v>#REF!</v>
      </c>
      <c r="T46" s="225" t="e">
        <f t="shared" si="4"/>
        <v>#N/A</v>
      </c>
      <c r="U46" s="1065" t="e">
        <f t="shared" si="5"/>
        <v>#N/A</v>
      </c>
      <c r="V46" s="1066" t="e">
        <f>M46*#REF!</f>
        <v>#REF!</v>
      </c>
      <c r="W46" s="691" t="e">
        <f t="shared" si="6"/>
        <v>#N/A</v>
      </c>
      <c r="X46" s="1067" t="e">
        <f t="shared" si="7"/>
        <v>#N/A</v>
      </c>
      <c r="Y46" s="402" t="e">
        <f>O46*#REF!</f>
        <v>#REF!</v>
      </c>
      <c r="Z46" s="225" t="e">
        <f t="shared" si="8"/>
        <v>#N/A</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7</v>
      </c>
      <c r="C47" s="1174"/>
      <c r="D47" s="132"/>
      <c r="E47" s="8"/>
      <c r="F47" s="8"/>
      <c r="G47" s="607"/>
      <c r="H47" s="602" t="str">
        <f>IF($B47=0,0,VLOOKUP($B47,Arbeitsgänge!$B$27:$T$79,7))</f>
        <v>x</v>
      </c>
      <c r="I47" s="603">
        <f>IF($B47=0,0,VLOOKUP($B47,Arbeitsgänge!$B$27:$T$79,12))</f>
        <v>8.8260781587999997</v>
      </c>
      <c r="J47" s="401" t="str">
        <f>IF($B47=0,0,VLOOKUP($B47,Arbeitsgänge!$B$27:$T$79,14))</f>
        <v>KTBL (2016/17): S. 96+172</v>
      </c>
      <c r="K47" s="316">
        <v>1</v>
      </c>
      <c r="L47" s="279" t="e">
        <f t="shared" si="0"/>
        <v>#VALUE!</v>
      </c>
      <c r="M47" s="316">
        <v>1</v>
      </c>
      <c r="N47" s="656" t="e">
        <f t="shared" si="1"/>
        <v>#VALUE!</v>
      </c>
      <c r="O47" s="316">
        <v>1</v>
      </c>
      <c r="P47" s="279" t="e">
        <f t="shared" si="2"/>
        <v>#VALUE!</v>
      </c>
      <c r="Q47" s="436"/>
      <c r="R47" s="1064">
        <f t="shared" si="3"/>
        <v>8.8260781587999997</v>
      </c>
      <c r="S47" s="402" t="e">
        <f>K47*#REF!</f>
        <v>#REF!</v>
      </c>
      <c r="T47" s="225" t="e">
        <f t="shared" si="4"/>
        <v>#VALUE!</v>
      </c>
      <c r="U47" s="1065">
        <f t="shared" si="5"/>
        <v>8.8260781587999997</v>
      </c>
      <c r="V47" s="1066" t="e">
        <f>M47*#REF!</f>
        <v>#REF!</v>
      </c>
      <c r="W47" s="691" t="e">
        <f t="shared" si="6"/>
        <v>#VALUE!</v>
      </c>
      <c r="X47" s="1067">
        <f t="shared" si="7"/>
        <v>8.8260781587999997</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15</v>
      </c>
      <c r="C48" s="1174"/>
      <c r="D48" s="132"/>
      <c r="E48" s="8"/>
      <c r="F48" s="8"/>
      <c r="G48" s="607"/>
      <c r="H48" s="602" t="str">
        <f>IF($B48=0,0,VLOOKUP($B48,Arbeitsgänge!$B$27:$T$79,7))</f>
        <v>x</v>
      </c>
      <c r="I48" s="603">
        <f>IF($B48=0,0,VLOOKUP($B48,Arbeitsgänge!$B$27:$T$79,12))</f>
        <v>14.9882142228</v>
      </c>
      <c r="J48" s="401" t="str">
        <f>IF($B48=0,0,VLOOKUP($B48,Arbeitsgänge!$B$27:$T$79,14))</f>
        <v>KTBL ÖKO (2017):S.112+208</v>
      </c>
      <c r="K48" s="316"/>
      <c r="L48" s="279" t="e">
        <f t="shared" si="0"/>
        <v>#VALUE!</v>
      </c>
      <c r="M48" s="316"/>
      <c r="N48" s="656" t="e">
        <f t="shared" si="1"/>
        <v>#VALUE!</v>
      </c>
      <c r="O48" s="316"/>
      <c r="P48" s="279" t="e">
        <f t="shared" si="2"/>
        <v>#VALUE!</v>
      </c>
      <c r="Q48" s="436"/>
      <c r="R48" s="1064">
        <f t="shared" si="3"/>
        <v>0</v>
      </c>
      <c r="S48" s="402" t="e">
        <f>K48*#REF!</f>
        <v>#REF!</v>
      </c>
      <c r="T48" s="225" t="e">
        <f t="shared" si="4"/>
        <v>#VALUE!</v>
      </c>
      <c r="U48" s="1065">
        <f t="shared" si="5"/>
        <v>0</v>
      </c>
      <c r="V48" s="1066" t="e">
        <f>M48*#REF!</f>
        <v>#REF!</v>
      </c>
      <c r="W48" s="691" t="e">
        <f t="shared" si="6"/>
        <v>#VALUE!</v>
      </c>
      <c r="X48" s="1067">
        <f t="shared" si="7"/>
        <v>0</v>
      </c>
      <c r="Y48" s="402" t="e">
        <f>O48*#REF!</f>
        <v>#REF!</v>
      </c>
      <c r="Z48" s="225" t="e">
        <f t="shared" si="8"/>
        <v>#VALUE!</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c r="C49" s="1174"/>
      <c r="D49" s="132"/>
      <c r="E49" s="8"/>
      <c r="F49" s="8"/>
      <c r="G49" s="607"/>
      <c r="H49" s="602">
        <f>IF($B49=0,0,VLOOKUP($B49,Arbeitsgänge!$B$27:$T$79,7))</f>
        <v>0</v>
      </c>
      <c r="I49" s="603">
        <f>IF($B49=0,0,VLOOKUP($B49,Arbeitsgänge!$B$27:$T$79,12))</f>
        <v>0</v>
      </c>
      <c r="J49" s="401">
        <f>IF($B49=0,0,VLOOKUP($B49,Arbeitsgänge!$B$27:$T$79,14))</f>
        <v>0</v>
      </c>
      <c r="K49" s="316"/>
      <c r="L49" s="279">
        <f t="shared" si="0"/>
        <v>0</v>
      </c>
      <c r="M49" s="316"/>
      <c r="N49" s="656">
        <f t="shared" si="1"/>
        <v>0</v>
      </c>
      <c r="O49" s="316"/>
      <c r="P49" s="279">
        <f t="shared" si="2"/>
        <v>0</v>
      </c>
      <c r="Q49" s="436"/>
      <c r="R49" s="1064">
        <f t="shared" si="3"/>
        <v>0</v>
      </c>
      <c r="S49" s="402" t="e">
        <f>K49*#REF!</f>
        <v>#REF!</v>
      </c>
      <c r="T49" s="225">
        <f t="shared" si="4"/>
        <v>0</v>
      </c>
      <c r="U49" s="1065">
        <f t="shared" si="5"/>
        <v>0</v>
      </c>
      <c r="V49" s="1066" t="e">
        <f>M49*#REF!</f>
        <v>#REF!</v>
      </c>
      <c r="W49" s="691">
        <f t="shared" si="6"/>
        <v>0</v>
      </c>
      <c r="X49" s="1067">
        <f t="shared" si="7"/>
        <v>0</v>
      </c>
      <c r="Y49" s="402" t="e">
        <f>O49*#REF!</f>
        <v>#REF!</v>
      </c>
      <c r="Z49" s="225">
        <f t="shared" si="8"/>
        <v>0</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28</v>
      </c>
      <c r="C50" s="1174"/>
      <c r="D50" s="132"/>
      <c r="E50" s="8"/>
      <c r="F50" s="8"/>
      <c r="G50" s="607"/>
      <c r="H50" s="602">
        <f>IF($B50=0,0,VLOOKUP($B50,Arbeitsgänge!$B$27:$T$79,7))</f>
        <v>0</v>
      </c>
      <c r="I50" s="603">
        <f>IF($B50=0,0,VLOOKUP($B50,Arbeitsgänge!$B$27:$T$79,12))</f>
        <v>16.220808179999999</v>
      </c>
      <c r="J50" s="401" t="str">
        <f>IF($B50=0,0,VLOOKUP($B50,Arbeitsgänge!$B$27:$T$79,14))</f>
        <v>KTBL (2016/17) S.112+ 204</v>
      </c>
      <c r="K50" s="316">
        <f>L$9/10/12</f>
        <v>1.8627450980392155</v>
      </c>
      <c r="L50" s="279" t="e">
        <f t="shared" si="0"/>
        <v>#VALUE!</v>
      </c>
      <c r="M50" s="316">
        <f>N$9/10/12</f>
        <v>2.3284313725490193</v>
      </c>
      <c r="N50" s="656" t="e">
        <f t="shared" si="1"/>
        <v>#VALUE!</v>
      </c>
      <c r="O50" s="316">
        <f>P$9/10/12</f>
        <v>2.7941176470588238</v>
      </c>
      <c r="P50" s="279" t="e">
        <f t="shared" si="2"/>
        <v>#VALUE!</v>
      </c>
      <c r="Q50" s="436"/>
      <c r="R50" s="1064">
        <f t="shared" si="3"/>
        <v>30.215230923529408</v>
      </c>
      <c r="S50" s="402" t="e">
        <f>K50*#REF!</f>
        <v>#REF!</v>
      </c>
      <c r="T50" s="225" t="e">
        <f t="shared" si="4"/>
        <v>#VALUE!</v>
      </c>
      <c r="U50" s="1065">
        <f t="shared" si="5"/>
        <v>37.769038654411759</v>
      </c>
      <c r="V50" s="1066" t="e">
        <f>M50*#REF!</f>
        <v>#REF!</v>
      </c>
      <c r="W50" s="691" t="e">
        <f t="shared" si="6"/>
        <v>#VALUE!</v>
      </c>
      <c r="X50" s="1067">
        <f t="shared" si="7"/>
        <v>45.32284638529412</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c r="C51" s="1174"/>
      <c r="D51" s="132"/>
      <c r="E51" s="8"/>
      <c r="F51" s="8"/>
      <c r="G51" s="607"/>
      <c r="H51" s="602">
        <f>IF($B51=0,0,VLOOKUP($B51,Arbeitsgänge!$B$27:$T$79,7))</f>
        <v>0</v>
      </c>
      <c r="I51" s="603">
        <f>IF($B51=0,0,VLOOKUP($B51,Arbeitsgänge!$B$27:$T$79,12))</f>
        <v>0</v>
      </c>
      <c r="J51" s="401">
        <f>IF($B51=0,0,VLOOKUP($B51,Arbeitsgänge!$B$27:$T$79,14))</f>
        <v>0</v>
      </c>
      <c r="K51" s="316"/>
      <c r="L51" s="279">
        <f t="shared" si="0"/>
        <v>0</v>
      </c>
      <c r="M51" s="316"/>
      <c r="N51" s="656">
        <f t="shared" si="1"/>
        <v>0</v>
      </c>
      <c r="O51" s="316"/>
      <c r="P51" s="279">
        <f t="shared" si="2"/>
        <v>0</v>
      </c>
      <c r="Q51" s="436"/>
      <c r="R51" s="1064">
        <f t="shared" si="3"/>
        <v>0</v>
      </c>
      <c r="S51" s="402" t="e">
        <f>K51*#REF!</f>
        <v>#REF!</v>
      </c>
      <c r="T51" s="225">
        <f t="shared" si="4"/>
        <v>0</v>
      </c>
      <c r="U51" s="1065">
        <f t="shared" si="5"/>
        <v>0</v>
      </c>
      <c r="V51" s="1066" t="e">
        <f>M51*#REF!</f>
        <v>#REF!</v>
      </c>
      <c r="W51" s="691">
        <f t="shared" si="6"/>
        <v>0</v>
      </c>
      <c r="X51" s="1067">
        <f t="shared" si="7"/>
        <v>0</v>
      </c>
      <c r="Y51" s="402" t="e">
        <f>O51*#REF!</f>
        <v>#REF!</v>
      </c>
      <c r="Z51" s="225">
        <f t="shared" si="8"/>
        <v>0</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0</v>
      </c>
      <c r="C52" s="1174"/>
      <c r="D52" s="132"/>
      <c r="E52" s="8"/>
      <c r="F52" s="8"/>
      <c r="G52" s="607"/>
      <c r="H52" s="602">
        <f>IF($B52=0,0,VLOOKUP($B52,Arbeitsgänge!$B$27:$T$79,7))</f>
        <v>0</v>
      </c>
      <c r="I52" s="603">
        <f>IF($B52=0,0,VLOOKUP($B52,Arbeitsgänge!$B$27:$T$79,12))</f>
        <v>0</v>
      </c>
      <c r="J52" s="401">
        <f>IF($B52=0,0,VLOOKUP($B52,Arbeitsgänge!$B$27:$T$79,14))</f>
        <v>0</v>
      </c>
      <c r="K52" s="316"/>
      <c r="L52" s="279">
        <f t="shared" si="0"/>
        <v>0</v>
      </c>
      <c r="M52" s="316"/>
      <c r="N52" s="656">
        <f t="shared" si="1"/>
        <v>0</v>
      </c>
      <c r="O52" s="316"/>
      <c r="P52" s="279">
        <f t="shared" si="2"/>
        <v>0</v>
      </c>
      <c r="Q52" s="436"/>
      <c r="R52" s="1064">
        <f t="shared" si="3"/>
        <v>0</v>
      </c>
      <c r="S52" s="402" t="e">
        <f>K52*#REF!</f>
        <v>#REF!</v>
      </c>
      <c r="T52" s="225">
        <f t="shared" si="4"/>
        <v>0</v>
      </c>
      <c r="U52" s="1065">
        <f t="shared" si="5"/>
        <v>0</v>
      </c>
      <c r="V52" s="1066" t="e">
        <f>M52*#REF!</f>
        <v>#REF!</v>
      </c>
      <c r="W52" s="691">
        <f t="shared" si="6"/>
        <v>0</v>
      </c>
      <c r="X52" s="1067">
        <f t="shared" si="7"/>
        <v>0</v>
      </c>
      <c r="Y52" s="402" t="e">
        <f>O52*#REF!</f>
        <v>#REF!</v>
      </c>
      <c r="Z52" s="225">
        <f t="shared" si="8"/>
        <v>0</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c r="C53" s="1174"/>
      <c r="D53" s="132">
        <f>IF($B53=0,0,VLOOKUP($B53,Arbeitsgänge!$B$27:$O$74,2))</f>
        <v>0</v>
      </c>
      <c r="E53" s="8"/>
      <c r="F53" s="8"/>
      <c r="G53" s="607"/>
      <c r="H53" s="602">
        <f>IF($B53=0,0,VLOOKUP($B53,Arbeitsgänge!$B$27:$T$79,7))</f>
        <v>0</v>
      </c>
      <c r="I53" s="603">
        <f>IF($B53=0,0,VLOOKUP($B53,Arbeitsgänge!$B$27:$T$79,12))</f>
        <v>0</v>
      </c>
      <c r="J53" s="401">
        <f>IF($B53=0,0,VLOOKUP($B53,Arbeitsgänge!$B$27:$T$79,14))</f>
        <v>0</v>
      </c>
      <c r="K53" s="316"/>
      <c r="L53" s="279">
        <f t="shared" si="0"/>
        <v>0</v>
      </c>
      <c r="M53" s="316"/>
      <c r="N53" s="656">
        <f t="shared" si="1"/>
        <v>0</v>
      </c>
      <c r="O53" s="316"/>
      <c r="P53" s="279">
        <f t="shared" si="2"/>
        <v>0</v>
      </c>
      <c r="Q53" s="436"/>
      <c r="R53" s="1064">
        <f t="shared" si="3"/>
        <v>0</v>
      </c>
      <c r="S53" s="402" t="e">
        <f>K53*#REF!</f>
        <v>#REF!</v>
      </c>
      <c r="T53" s="225">
        <f t="shared" si="4"/>
        <v>0</v>
      </c>
      <c r="U53" s="1065">
        <f t="shared" si="5"/>
        <v>0</v>
      </c>
      <c r="V53" s="1066" t="e">
        <f>M53*#REF!</f>
        <v>#REF!</v>
      </c>
      <c r="W53" s="691">
        <f t="shared" si="6"/>
        <v>0</v>
      </c>
      <c r="X53" s="1067">
        <f t="shared" si="7"/>
        <v>0</v>
      </c>
      <c r="Y53" s="402" t="e">
        <f>O53*#REF!</f>
        <v>#REF!</v>
      </c>
      <c r="Z53" s="225">
        <f t="shared" si="8"/>
        <v>0</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c r="C54" s="1174"/>
      <c r="D54" s="132">
        <f>IF($B54=0,0,VLOOKUP($B54,Arbeitsgänge!$B$27:$O$74,2))</f>
        <v>0</v>
      </c>
      <c r="E54" s="8"/>
      <c r="F54" s="8"/>
      <c r="G54" s="607"/>
      <c r="H54" s="602">
        <f>IF($B54=0,0,VLOOKUP($B54,Arbeitsgänge!$B$27:$T$79,7))</f>
        <v>0</v>
      </c>
      <c r="I54" s="603">
        <f>IF($B54=0,0,VLOOKUP($B54,Arbeitsgänge!$B$27:$T$79,12))</f>
        <v>0</v>
      </c>
      <c r="J54" s="401">
        <f>IF($B54=0,0,VLOOKUP($B54,Arbeitsgänge!$B$27:$T$79,14))</f>
        <v>0</v>
      </c>
      <c r="K54" s="316"/>
      <c r="L54" s="279">
        <f t="shared" si="0"/>
        <v>0</v>
      </c>
      <c r="M54" s="318"/>
      <c r="N54" s="656">
        <f t="shared" si="1"/>
        <v>0</v>
      </c>
      <c r="O54" s="318"/>
      <c r="P54" s="279">
        <f t="shared" si="2"/>
        <v>0</v>
      </c>
      <c r="Q54" s="436"/>
      <c r="R54" s="1064">
        <f t="shared" si="3"/>
        <v>0</v>
      </c>
      <c r="S54" s="402" t="e">
        <f>K54*#REF!</f>
        <v>#REF!</v>
      </c>
      <c r="T54" s="225">
        <f t="shared" si="4"/>
        <v>0</v>
      </c>
      <c r="U54" s="1065">
        <f t="shared" si="5"/>
        <v>0</v>
      </c>
      <c r="V54" s="1066" t="e">
        <f>M54*#REF!</f>
        <v>#REF!</v>
      </c>
      <c r="W54" s="691">
        <f t="shared" si="6"/>
        <v>0</v>
      </c>
      <c r="X54" s="1067">
        <f t="shared" si="7"/>
        <v>0</v>
      </c>
      <c r="Y54" s="402" t="e">
        <f>O54*#REF!</f>
        <v>#REF!</v>
      </c>
      <c r="Z54" s="225">
        <f t="shared" si="8"/>
        <v>0</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c r="C55" s="1174"/>
      <c r="D55" s="133">
        <f>IF($B55=0,0,VLOOKUP($B55,Arbeitsgänge!$B$27:$O$74,2))</f>
        <v>0</v>
      </c>
      <c r="E55" s="84"/>
      <c r="F55" s="84"/>
      <c r="G55" s="608"/>
      <c r="H55" s="1432">
        <f>IF($B55=0,0,VLOOKUP($B55,Arbeitsgänge!$B$27:$T$79,7))</f>
        <v>0</v>
      </c>
      <c r="I55" s="604">
        <f>IF($B55=0,0,VLOOKUP($B55,Arbeitsgänge!$B$27:$T$79,12))</f>
        <v>0</v>
      </c>
      <c r="J55" s="1430">
        <f>IF($B55=0,0,VLOOKUP($B55,Arbeitsgänge!$B$27:$T$79,14))</f>
        <v>0</v>
      </c>
      <c r="K55" s="317"/>
      <c r="L55" s="313">
        <f t="shared" si="0"/>
        <v>0</v>
      </c>
      <c r="M55" s="319"/>
      <c r="N55" s="661">
        <f t="shared" si="1"/>
        <v>0</v>
      </c>
      <c r="O55" s="319"/>
      <c r="P55" s="313">
        <f t="shared" si="2"/>
        <v>0</v>
      </c>
      <c r="Q55" s="436"/>
      <c r="R55" s="1068">
        <f t="shared" si="3"/>
        <v>0</v>
      </c>
      <c r="S55" s="403" t="e">
        <f>K55*#REF!</f>
        <v>#REF!</v>
      </c>
      <c r="T55" s="444">
        <f t="shared" si="4"/>
        <v>0</v>
      </c>
      <c r="U55" s="1069">
        <f t="shared" si="5"/>
        <v>0</v>
      </c>
      <c r="V55" s="1070" t="e">
        <f>M55*#REF!</f>
        <v>#REF!</v>
      </c>
      <c r="W55" s="1071">
        <f t="shared" si="6"/>
        <v>0</v>
      </c>
      <c r="X55" s="1072">
        <f t="shared" si="7"/>
        <v>0</v>
      </c>
      <c r="Y55" s="403" t="e">
        <f>O55*#REF!</f>
        <v>#REF!</v>
      </c>
      <c r="Z55" s="444">
        <f t="shared" si="8"/>
        <v>0</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80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c r="E60" s="58"/>
      <c r="F60" s="58"/>
      <c r="G60" s="58"/>
      <c r="H60" s="2036"/>
      <c r="I60" s="2037"/>
      <c r="J60" s="341"/>
      <c r="K60" s="2038"/>
      <c r="L60" s="2039"/>
      <c r="M60" s="2038"/>
      <c r="N60" s="2040"/>
      <c r="O60" s="2038"/>
      <c r="P60" s="2039"/>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51"/>
      <c r="X62" s="436" t="s">
        <v>540</v>
      </c>
      <c r="Y62" s="1920"/>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0.17</v>
      </c>
      <c r="W63" s="78"/>
      <c r="X63" s="78" t="s">
        <v>206</v>
      </c>
      <c r="Y63" s="1923"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78"/>
      <c r="X64" s="1954">
        <v>2.2400000000000002</v>
      </c>
      <c r="Y64" s="2093">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5.4340000000000011</v>
      </c>
      <c r="M65" s="1073"/>
      <c r="N65" s="651">
        <f>M66*$H66/100</f>
        <v>6.7925000000000004</v>
      </c>
      <c r="O65" s="289"/>
      <c r="P65" s="267">
        <f>O66*$H66/100</f>
        <v>8.1509999999999998</v>
      </c>
      <c r="Q65" s="437"/>
      <c r="R65" s="437"/>
      <c r="S65" s="437"/>
      <c r="T65" s="437"/>
      <c r="U65" s="437"/>
      <c r="V65" s="2033">
        <v>0.75</v>
      </c>
      <c r="W65" s="1921"/>
      <c r="X65" s="2088" t="s">
        <v>309</v>
      </c>
      <c r="Y65" s="1922"/>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v>1.1000000000000001</v>
      </c>
      <c r="I66" s="74"/>
      <c r="J66" s="303" t="s">
        <v>154</v>
      </c>
      <c r="K66" s="322">
        <f>K15*0.2</f>
        <v>494</v>
      </c>
      <c r="L66" s="290"/>
      <c r="M66" s="322">
        <f>M15*0.2</f>
        <v>617.5</v>
      </c>
      <c r="N66" s="654"/>
      <c r="O66" s="322">
        <f>O15*0.2</f>
        <v>741</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185" t="s">
        <v>282</v>
      </c>
      <c r="B68" s="759"/>
      <c r="C68" s="103"/>
      <c r="D68" s="132"/>
      <c r="E68" s="8"/>
      <c r="F68" s="104"/>
      <c r="G68" s="104"/>
      <c r="H68" s="1102"/>
      <c r="I68" s="1099">
        <f>IF($B68=0,0,VLOOKUP($B68,Preise!$B$43:$M$48,12))</f>
        <v>0</v>
      </c>
      <c r="J68" s="141"/>
      <c r="K68" s="969"/>
      <c r="L68" s="588">
        <f>$I$68</f>
        <v>0</v>
      </c>
      <c r="M68" s="969"/>
      <c r="N68" s="695">
        <f>$I$68</f>
        <v>0</v>
      </c>
      <c r="O68" s="969"/>
      <c r="P68" s="588">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761"/>
      <c r="E69" s="8"/>
      <c r="F69" s="148"/>
      <c r="G69" s="148"/>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6"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useFirstPageNumber="1" horizontalDpi="300" verticalDpi="300" r:id="rId1"/>
      <headerFooter alignWithMargins="0">
        <oddFooter>&amp;L&amp;12LEL Schwäbisch Gmünd (Abtlg. II)
LAZBW Aulendorf&amp;C&amp;12 66&amp;9
&amp;R&amp;12&amp;F
&amp;A</oddFooter>
      </headerFooter>
    </customSheetView>
  </customSheetViews>
  <mergeCells count="3">
    <mergeCell ref="M2:P2"/>
    <mergeCell ref="H3:P3"/>
    <mergeCell ref="B1:F1"/>
  </mergeCells>
  <phoneticPr fontId="0" type="noConversion"/>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66&amp;9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0481"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20482"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20483"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20484"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20485"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20486"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20487"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20488"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20489"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20490"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20491"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20492"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20493"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20494"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20495"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20496"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20497"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20498" r:id="rId22" name="Drop Down 18">
              <controlPr defaultSize="0" autoLine="0" autoPict="0">
                <anchor moveWithCells="1">
                  <from>
                    <xdr:col>3</xdr:col>
                    <xdr:colOff>0</xdr:colOff>
                    <xdr:row>46</xdr:row>
                    <xdr:rowOff>0</xdr:rowOff>
                  </from>
                  <to>
                    <xdr:col>7</xdr:col>
                    <xdr:colOff>69011</xdr:colOff>
                    <xdr:row>47</xdr:row>
                    <xdr:rowOff>8626</xdr:rowOff>
                  </to>
                </anchor>
              </controlPr>
            </control>
          </mc:Choice>
        </mc:AlternateContent>
        <mc:AlternateContent xmlns:mc="http://schemas.openxmlformats.org/markup-compatibility/2006">
          <mc:Choice Requires="x14">
            <control shapeId="20499" r:id="rId23" name="Drop Down 19">
              <controlPr defaultSize="0" autoLine="0" autoPict="0">
                <anchor moveWithCells="1">
                  <from>
                    <xdr:col>3</xdr:col>
                    <xdr:colOff>0</xdr:colOff>
                    <xdr:row>47</xdr:row>
                    <xdr:rowOff>0</xdr:rowOff>
                  </from>
                  <to>
                    <xdr:col>7</xdr:col>
                    <xdr:colOff>69011</xdr:colOff>
                    <xdr:row>48</xdr:row>
                    <xdr:rowOff>8626</xdr:rowOff>
                  </to>
                </anchor>
              </controlPr>
            </control>
          </mc:Choice>
        </mc:AlternateContent>
        <mc:AlternateContent xmlns:mc="http://schemas.openxmlformats.org/markup-compatibility/2006">
          <mc:Choice Requires="x14">
            <control shapeId="20500" r:id="rId24" name="Drop Down 20">
              <controlPr defaultSize="0" autoLine="0" autoPict="0">
                <anchor moveWithCells="1">
                  <from>
                    <xdr:col>3</xdr:col>
                    <xdr:colOff>0</xdr:colOff>
                    <xdr:row>48</xdr:row>
                    <xdr:rowOff>0</xdr:rowOff>
                  </from>
                  <to>
                    <xdr:col>7</xdr:col>
                    <xdr:colOff>69011</xdr:colOff>
                    <xdr:row>49</xdr:row>
                    <xdr:rowOff>8626</xdr:rowOff>
                  </to>
                </anchor>
              </controlPr>
            </control>
          </mc:Choice>
        </mc:AlternateContent>
        <mc:AlternateContent xmlns:mc="http://schemas.openxmlformats.org/markup-compatibility/2006">
          <mc:Choice Requires="x14">
            <control shapeId="20501" r:id="rId25" name="Drop Down 21">
              <controlPr defaultSize="0" autoLine="0" autoPict="0">
                <anchor moveWithCells="1">
                  <from>
                    <xdr:col>3</xdr:col>
                    <xdr:colOff>0</xdr:colOff>
                    <xdr:row>49</xdr:row>
                    <xdr:rowOff>0</xdr:rowOff>
                  </from>
                  <to>
                    <xdr:col>7</xdr:col>
                    <xdr:colOff>69011</xdr:colOff>
                    <xdr:row>50</xdr:row>
                    <xdr:rowOff>8626</xdr:rowOff>
                  </to>
                </anchor>
              </controlPr>
            </control>
          </mc:Choice>
        </mc:AlternateContent>
        <mc:AlternateContent xmlns:mc="http://schemas.openxmlformats.org/markup-compatibility/2006">
          <mc:Choice Requires="x14">
            <control shapeId="20502" r:id="rId26" name="Drop Down 22">
              <controlPr defaultSize="0" autoLine="0" autoPict="0">
                <anchor moveWithCells="1">
                  <from>
                    <xdr:col>3</xdr:col>
                    <xdr:colOff>0</xdr:colOff>
                    <xdr:row>50</xdr:row>
                    <xdr:rowOff>0</xdr:rowOff>
                  </from>
                  <to>
                    <xdr:col>7</xdr:col>
                    <xdr:colOff>69011</xdr:colOff>
                    <xdr:row>51</xdr:row>
                    <xdr:rowOff>8626</xdr:rowOff>
                  </to>
                </anchor>
              </controlPr>
            </control>
          </mc:Choice>
        </mc:AlternateContent>
        <mc:AlternateContent xmlns:mc="http://schemas.openxmlformats.org/markup-compatibility/2006">
          <mc:Choice Requires="x14">
            <control shapeId="20503" r:id="rId27" name="Drop Down 23">
              <controlPr defaultSize="0" autoLine="0" autoPict="0">
                <anchor moveWithCells="1">
                  <from>
                    <xdr:col>3</xdr:col>
                    <xdr:colOff>0</xdr:colOff>
                    <xdr:row>51</xdr:row>
                    <xdr:rowOff>0</xdr:rowOff>
                  </from>
                  <to>
                    <xdr:col>7</xdr:col>
                    <xdr:colOff>69011</xdr:colOff>
                    <xdr:row>52</xdr:row>
                    <xdr:rowOff>8626</xdr:rowOff>
                  </to>
                </anchor>
              </controlPr>
            </control>
          </mc:Choice>
        </mc:AlternateContent>
        <mc:AlternateContent xmlns:mc="http://schemas.openxmlformats.org/markup-compatibility/2006">
          <mc:Choice Requires="x14">
            <control shapeId="20504"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20505"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20506"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theme="8" tint="-0.249977111117893"/>
    <pageSetUpPr fitToPage="1"/>
  </sheetPr>
  <dimension ref="A1:BP91"/>
  <sheetViews>
    <sheetView showGridLines="0" showZeros="0" zoomScale="80" zoomScaleNormal="80" workbookViewId="0">
      <pane xSplit="12" ySplit="6" topLeftCell="M19"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87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4.3" thickBot="1" x14ac:dyDescent="0.25">
      <c r="L1" s="299"/>
      <c r="AI1" s="41"/>
    </row>
    <row r="2" spans="1:68" s="33" customFormat="1" ht="19.55" customHeight="1" x14ac:dyDescent="0.3">
      <c r="A2" s="1076"/>
      <c r="B2" s="3391"/>
      <c r="C2" s="1845" t="s">
        <v>34</v>
      </c>
      <c r="D2" s="1846"/>
      <c r="E2" s="1847"/>
      <c r="F2" s="1847"/>
      <c r="G2" s="1847"/>
      <c r="H2" s="1847"/>
      <c r="I2" s="1865"/>
      <c r="J2" s="1866" t="e">
        <f>#REF!</f>
        <v>#REF!</v>
      </c>
      <c r="K2" s="1848" t="s">
        <v>389</v>
      </c>
      <c r="L2" s="1847"/>
      <c r="M2" s="1849"/>
      <c r="N2" s="1867"/>
      <c r="O2" s="1868" t="str">
        <f>'Grünroggen-(a)'!M2</f>
        <v>Grünschnittroggen, Frisch</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e">
        <f>#REF!</f>
        <v>#REF!</v>
      </c>
      <c r="G3" s="3392" t="str">
        <f>'Grünroggen-(a)'!H3</f>
        <v>Saat bis Ende September Ernte ab Mitte Mai (Ährenschieben) als Frischfutter, eigene Mechanisierung</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1366"/>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20"/>
      <c r="J6" s="220"/>
      <c r="K6" s="220"/>
      <c r="L6" s="425" t="s">
        <v>72</v>
      </c>
      <c r="M6" s="258">
        <f>'Grünroggen-(a)'!K5</f>
        <v>40</v>
      </c>
      <c r="N6" s="1290">
        <f>'Grünroggen-(a)'!M5</f>
        <v>50</v>
      </c>
      <c r="O6" s="1298">
        <f>'Grünroggen-(a)'!O5</f>
        <v>60</v>
      </c>
      <c r="P6" s="163"/>
      <c r="AD6" s="163"/>
      <c r="AE6" s="163"/>
      <c r="AF6" s="163"/>
      <c r="AG6" s="163"/>
      <c r="AH6" s="163"/>
      <c r="AI6" s="163"/>
      <c r="AJ6" s="163"/>
      <c r="AK6" s="163"/>
      <c r="AL6" s="163"/>
      <c r="AM6" s="163"/>
      <c r="AN6" s="7"/>
      <c r="AO6" s="17">
        <v>2</v>
      </c>
    </row>
    <row r="7" spans="1:68" s="168" customFormat="1" ht="20.399999999999999" customHeight="1" x14ac:dyDescent="0.2">
      <c r="B7" s="3358"/>
      <c r="C7" s="1308">
        <v>4</v>
      </c>
      <c r="D7" s="332" t="s">
        <v>108</v>
      </c>
      <c r="F7" s="163"/>
      <c r="G7" s="26"/>
      <c r="H7" s="26"/>
      <c r="I7" s="220"/>
      <c r="J7" s="220"/>
      <c r="K7" s="220"/>
      <c r="L7" s="425" t="s">
        <v>72</v>
      </c>
      <c r="M7" s="391">
        <f>'Grünroggen-(a)'!K9</f>
        <v>38</v>
      </c>
      <c r="N7" s="1291">
        <f>'Grünroggen-(a)'!M9</f>
        <v>47.5</v>
      </c>
      <c r="O7" s="1299">
        <f>'Grünroggen-(a)'!O9</f>
        <v>57</v>
      </c>
      <c r="P7" s="163"/>
      <c r="AD7" s="163"/>
      <c r="AE7" s="163"/>
      <c r="AF7" s="163"/>
      <c r="AG7" s="163"/>
      <c r="AH7" s="163"/>
      <c r="AI7" s="163"/>
      <c r="AJ7" s="163"/>
      <c r="AK7" s="163"/>
      <c r="AL7" s="163"/>
      <c r="AM7" s="163"/>
      <c r="AN7" s="7"/>
      <c r="AO7" s="17"/>
    </row>
    <row r="8" spans="1:68" s="1" customFormat="1" ht="16.5" customHeight="1" x14ac:dyDescent="0.2">
      <c r="A8" s="168"/>
      <c r="B8" s="3358"/>
      <c r="C8" s="1345">
        <v>5</v>
      </c>
      <c r="D8" s="1322"/>
      <c r="E8" s="381"/>
      <c r="F8" s="36"/>
      <c r="G8" s="14"/>
      <c r="H8" s="14"/>
      <c r="I8" s="323"/>
      <c r="J8" s="323"/>
      <c r="K8" s="323"/>
      <c r="L8" s="139" t="s">
        <v>376</v>
      </c>
      <c r="M8" s="404">
        <f>'Grünroggen-(a)'!L9</f>
        <v>223.52941176470588</v>
      </c>
      <c r="N8" s="1292">
        <f>'Grünroggen-(a)'!N9</f>
        <v>279.41176470588232</v>
      </c>
      <c r="O8" s="1201">
        <f>'Grünroggen-(a)'!P9</f>
        <v>335.29411764705884</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20"/>
      <c r="J9" s="220"/>
      <c r="K9" s="220"/>
      <c r="L9" s="425" t="s">
        <v>72</v>
      </c>
      <c r="M9" s="967">
        <f>'Grünroggen-(a)'!K11</f>
        <v>38</v>
      </c>
      <c r="N9" s="1181">
        <f>'Grünroggen-(a)'!M11</f>
        <v>47.5</v>
      </c>
      <c r="O9" s="1302">
        <f>'Grünroggen-(a)'!O11</f>
        <v>57</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20"/>
      <c r="J10" s="220"/>
      <c r="K10" s="220"/>
      <c r="L10" s="425" t="s">
        <v>376</v>
      </c>
      <c r="M10" s="1469">
        <f>'Grünroggen-(a)'!L11</f>
        <v>223.52941176470588</v>
      </c>
      <c r="N10" s="1200">
        <f>'Grünroggen-(a)'!N11</f>
        <v>279.41176470588232</v>
      </c>
      <c r="O10" s="1470">
        <f>'Grünroggen-(a)'!P11</f>
        <v>335.29411764705884</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'Grünroggen-(a)'!L12</f>
        <v>44.705882352941181</v>
      </c>
      <c r="N11" s="1358">
        <f>'Grünroggen-(a)'!N12</f>
        <v>55.882352941176464</v>
      </c>
      <c r="O11" s="1359">
        <f>'Grünroggen-(a)'!P12</f>
        <v>67.058823529411768</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'Grünroggen-(a)'!K15</f>
        <v>2470</v>
      </c>
      <c r="N12" s="1293">
        <f>'Grünroggen-(a)'!M15</f>
        <v>3087.5</v>
      </c>
      <c r="O12" s="1300">
        <f>'Grünroggen-(a)'!O15</f>
        <v>3705</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'Grünroggen-(a)'!K16</f>
        <v>4116.666666666667</v>
      </c>
      <c r="N13" s="1533">
        <f>'Grünroggen-(a)'!M16</f>
        <v>5145.8333333333339</v>
      </c>
      <c r="O13" s="1534">
        <f>'Grünroggen-(a)'!O16</f>
        <v>6175</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'Grünroggen-(a)'!L24</f>
        <v>270</v>
      </c>
      <c r="N15" s="2135">
        <f>'Grünroggen-(a)'!N24</f>
        <v>270</v>
      </c>
      <c r="O15" s="2138">
        <f>'Grünroggen-(a)'!P24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'Grünroggen-(a)'!L18</f>
        <v>230</v>
      </c>
      <c r="N16" s="1291">
        <f>'Grünroggen-(a)'!N18</f>
        <v>230</v>
      </c>
      <c r="O16" s="2140">
        <f>'Grünroggen-(a)'!P18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86" t="s">
        <v>459</v>
      </c>
      <c r="C19" s="1204">
        <f>C17+1</f>
        <v>14</v>
      </c>
      <c r="D19" s="3389"/>
      <c r="E19" s="1526" t="s">
        <v>215</v>
      </c>
      <c r="F19" s="1526"/>
      <c r="G19" s="1526"/>
      <c r="H19" s="1526"/>
      <c r="I19" s="1526"/>
      <c r="J19" s="1526"/>
      <c r="K19" s="1526"/>
      <c r="L19" s="1540" t="s">
        <v>154</v>
      </c>
      <c r="M19" s="1527">
        <f>'Grünroggen-(a)'!L27</f>
        <v>105.71600000000001</v>
      </c>
      <c r="N19" s="1528">
        <f>'Grünroggen-(a)'!N27</f>
        <v>105.71600000000001</v>
      </c>
      <c r="O19" s="1529">
        <f>'Grünroggen-(a)'!P27</f>
        <v>105.71600000000001</v>
      </c>
      <c r="P19" s="163"/>
      <c r="AD19" s="163"/>
      <c r="AE19" s="163"/>
      <c r="AF19" s="163"/>
      <c r="AG19" s="163"/>
      <c r="AH19" s="163"/>
      <c r="AI19" s="163"/>
      <c r="AJ19" s="163"/>
      <c r="AK19" s="163"/>
      <c r="AL19" s="163"/>
      <c r="AM19" s="163"/>
      <c r="AO19" s="233"/>
    </row>
    <row r="20" spans="1:68" ht="16.5" customHeight="1" x14ac:dyDescent="0.2">
      <c r="B20" s="3387"/>
      <c r="C20" s="1308">
        <f>C19+1</f>
        <v>15</v>
      </c>
      <c r="D20" s="3390"/>
      <c r="E20" s="16" t="s">
        <v>597</v>
      </c>
      <c r="F20" s="16"/>
      <c r="G20" s="16"/>
      <c r="H20" s="16"/>
      <c r="I20" s="16"/>
      <c r="J20" s="16"/>
      <c r="K20" s="16"/>
      <c r="L20" s="1541" t="s">
        <v>154</v>
      </c>
      <c r="M20" s="235">
        <f>'Grünroggen-(a)'!L31</f>
        <v>269.31223199999999</v>
      </c>
      <c r="N20" s="1186">
        <f>'Grünroggen-(a)'!N31</f>
        <v>336.64029000000005</v>
      </c>
      <c r="O20" s="1192">
        <f>'Grünroggen-(a)'!P31</f>
        <v>403.96834799999999</v>
      </c>
      <c r="P20" s="163"/>
      <c r="AD20" s="233"/>
      <c r="AE20" s="233"/>
      <c r="AF20" s="233"/>
      <c r="AG20" s="233"/>
      <c r="AH20" s="233"/>
      <c r="AI20" s="19"/>
      <c r="AJ20" s="520"/>
      <c r="AK20" s="521"/>
      <c r="AL20" s="520"/>
      <c r="AM20" s="520"/>
      <c r="AO20" s="233"/>
    </row>
    <row r="21" spans="1:68" ht="16.5" customHeight="1" x14ac:dyDescent="0.2">
      <c r="B21" s="3387"/>
      <c r="C21" s="1308">
        <f>C20+1</f>
        <v>16</v>
      </c>
      <c r="D21" s="3390"/>
      <c r="E21" s="17" t="s">
        <v>227</v>
      </c>
      <c r="F21" s="17"/>
      <c r="G21" s="17"/>
      <c r="H21" s="17"/>
      <c r="I21" s="17"/>
      <c r="J21" s="17"/>
      <c r="K21" s="17"/>
      <c r="L21" s="1541" t="s">
        <v>154</v>
      </c>
      <c r="M21" s="235">
        <f>'Grünroggen-(a)'!L37</f>
        <v>0</v>
      </c>
      <c r="N21" s="1186">
        <f>'Grünroggen-(a)'!N37</f>
        <v>0</v>
      </c>
      <c r="O21" s="1192">
        <f>'Grünroggen-(a)'!P37</f>
        <v>0</v>
      </c>
      <c r="P21" s="163"/>
      <c r="AD21" s="233"/>
      <c r="AE21" s="233"/>
      <c r="AF21" s="233"/>
      <c r="AG21" s="233"/>
      <c r="AH21" s="233"/>
      <c r="AI21" s="19"/>
      <c r="AJ21" s="520"/>
      <c r="AK21" s="521"/>
      <c r="AL21" s="520"/>
      <c r="AM21" s="520"/>
      <c r="AO21" s="233"/>
    </row>
    <row r="22" spans="1:68" ht="16.5" customHeight="1" x14ac:dyDescent="0.2">
      <c r="B22" s="3387"/>
      <c r="C22" s="1308">
        <f>C21+1</f>
        <v>17</v>
      </c>
      <c r="D22" s="3390"/>
      <c r="E22" s="17" t="s">
        <v>448</v>
      </c>
      <c r="F22" s="17"/>
      <c r="G22" s="17"/>
      <c r="H22" s="17"/>
      <c r="I22" s="17"/>
      <c r="J22" s="17"/>
      <c r="K22" s="17"/>
      <c r="L22" s="1541" t="s">
        <v>154</v>
      </c>
      <c r="M22" s="235">
        <f>'Grünroggen-(a)'!L65</f>
        <v>5.4340000000000011</v>
      </c>
      <c r="N22" s="1186">
        <f>'Grünroggen-(a)'!N65</f>
        <v>6.7925000000000004</v>
      </c>
      <c r="O22" s="1192">
        <f>'Grünroggen-(a)'!P65</f>
        <v>8.1509999999999998</v>
      </c>
      <c r="P22" s="163"/>
      <c r="AD22" s="233"/>
      <c r="AE22" s="233"/>
      <c r="AF22" s="233"/>
      <c r="AG22" s="233"/>
      <c r="AH22" s="233"/>
      <c r="AI22" s="19"/>
      <c r="AJ22" s="520"/>
      <c r="AK22" s="521"/>
      <c r="AL22" s="520"/>
      <c r="AM22" s="520"/>
      <c r="AO22" s="233"/>
    </row>
    <row r="23" spans="1:68" ht="16.5" customHeight="1" x14ac:dyDescent="0.2">
      <c r="B23" s="3387"/>
      <c r="C23" s="1308">
        <f>C22+1</f>
        <v>18</v>
      </c>
      <c r="D23" s="3390"/>
      <c r="E23" s="17" t="s">
        <v>451</v>
      </c>
      <c r="F23" s="17"/>
      <c r="G23" s="17"/>
      <c r="H23" s="17"/>
      <c r="I23" s="17"/>
      <c r="J23" s="17"/>
      <c r="K23" s="17"/>
      <c r="L23" s="1541" t="s">
        <v>154</v>
      </c>
      <c r="M23" s="235">
        <f>'Grünroggen-(a)'!L67</f>
        <v>0</v>
      </c>
      <c r="N23" s="1186">
        <f>'Grünroggen-(a)'!N67</f>
        <v>0</v>
      </c>
      <c r="O23" s="1192">
        <f>'Grünroggen-(a)'!P67</f>
        <v>0</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'Grünroggen-(a)'!L42</f>
        <v>#VALUE!</v>
      </c>
      <c r="N24" s="1186" t="e">
        <f>'Grünroggen-(a)'!N42</f>
        <v>#VALUE!</v>
      </c>
      <c r="O24" s="1192" t="e">
        <f>'Grünroggen-(a)'!P42</f>
        <v>#VALUE!</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'Grünroggen-(a)'!L58</f>
        <v>0</v>
      </c>
      <c r="N25" s="1186">
        <f>'Grünroggen-(a)'!N58</f>
        <v>0</v>
      </c>
      <c r="O25" s="1192">
        <f>'Grünroggen-(a)'!P58</f>
        <v>0</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'Grünroggen-(a)'!L63</f>
        <v>0</v>
      </c>
      <c r="N26" s="1438">
        <f>'Grünroggen-(a)'!N63</f>
        <v>0</v>
      </c>
      <c r="O26" s="1439">
        <f>'Grünroggen-(a)'!P63</f>
        <v>0</v>
      </c>
      <c r="P26" s="163"/>
      <c r="AD26" s="233"/>
      <c r="AE26" s="233"/>
      <c r="AF26" s="233"/>
      <c r="AG26" s="233"/>
      <c r="AH26" s="233"/>
      <c r="AI26" s="19"/>
      <c r="AJ26" s="520"/>
      <c r="AK26" s="521"/>
      <c r="AL26" s="520"/>
      <c r="AM26" s="520"/>
      <c r="AO26" s="233"/>
    </row>
    <row r="27" spans="1:68" ht="20.399999999999999" customHeight="1" x14ac:dyDescent="0.2">
      <c r="B27" s="3388"/>
      <c r="C27" s="1345">
        <f t="shared" si="0"/>
        <v>22</v>
      </c>
      <c r="D27" s="1447" t="s">
        <v>586</v>
      </c>
      <c r="E27" s="1363"/>
      <c r="F27" s="1509"/>
      <c r="G27" s="1509"/>
      <c r="H27" s="1509"/>
      <c r="I27" s="1509"/>
      <c r="J27" s="1509"/>
      <c r="K27" s="1509"/>
      <c r="L27" s="1510" t="s">
        <v>154</v>
      </c>
      <c r="M27" s="1319" t="e">
        <f>SUM(M19:M26)</f>
        <v>#VALUE!</v>
      </c>
      <c r="N27" s="1319" t="e">
        <f>SUM(N19:N26)</f>
        <v>#VALUE!</v>
      </c>
      <c r="O27" s="1511" t="e">
        <f>SUM(O19:O26)</f>
        <v>#VALUE!</v>
      </c>
      <c r="P27" s="163"/>
      <c r="AD27" s="233"/>
      <c r="AE27" s="233"/>
      <c r="AF27" s="233"/>
      <c r="AG27" s="233"/>
      <c r="AH27" s="233"/>
      <c r="AI27" s="19"/>
      <c r="AJ27" s="520"/>
      <c r="AK27" s="521"/>
      <c r="AL27" s="520"/>
      <c r="AM27" s="520"/>
      <c r="AO27" s="233"/>
    </row>
    <row r="28" spans="1:68" ht="20.399999999999999" customHeight="1" x14ac:dyDescent="0.2">
      <c r="B28" s="3396" t="s">
        <v>460</v>
      </c>
      <c r="C28" s="1345">
        <f t="shared" si="0"/>
        <v>23</v>
      </c>
      <c r="D28" s="1513" t="s">
        <v>576</v>
      </c>
      <c r="E28" s="1514"/>
      <c r="F28" s="1515"/>
      <c r="G28" s="1515"/>
      <c r="H28" s="1515"/>
      <c r="I28" s="1515"/>
      <c r="J28" s="1515"/>
      <c r="K28" s="1515"/>
      <c r="L28" s="1364" t="s">
        <v>154</v>
      </c>
      <c r="M28" s="1516" t="e">
        <f>-M27</f>
        <v>#VALUE!</v>
      </c>
      <c r="N28" s="1516" t="e">
        <f>-N27</f>
        <v>#VALUE!</v>
      </c>
      <c r="O28" s="1517" t="e">
        <f>-O27</f>
        <v>#VALUE!</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500</v>
      </c>
      <c r="N29" s="1297">
        <f>N17</f>
        <v>500</v>
      </c>
      <c r="O29" s="1301">
        <f>O17</f>
        <v>500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M27*'Grünroggen-(a)'!$L$70*'Grünroggen-(a)'!$P$70/12/100</f>
        <v>#VALUE!</v>
      </c>
      <c r="N30" s="1438" t="e">
        <f>N27*'Grünroggen-(a)'!$L$70*'Grünroggen-(a)'!$P$70/12/100</f>
        <v>#VALUE!</v>
      </c>
      <c r="O30" s="1439" t="e">
        <f>O27*'Grünroggen-(a)'!$L$70*'Grünroggen-(a)'!$P$70/12/100</f>
        <v>#VALUE!</v>
      </c>
      <c r="P30" s="163"/>
      <c r="T30" s="7" t="s">
        <v>581</v>
      </c>
      <c r="U30" s="2121"/>
      <c r="V30" s="2121"/>
      <c r="W30" s="2121"/>
      <c r="X30" s="2121"/>
      <c r="Y30" s="2121"/>
      <c r="Z30" s="2116">
        <f>'Grünroggen-(a)'!Q18+'Grünroggen-(a)'!Q24</f>
        <v>0</v>
      </c>
      <c r="AA30" s="2116">
        <f>'Grünroggen-(a)'!R18+'Grünroggen-(a)'!R24</f>
        <v>0</v>
      </c>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#VALUE!</v>
      </c>
      <c r="N31" s="1313" t="e">
        <f>N28+N29-N30</f>
        <v>#VALUE!</v>
      </c>
      <c r="O31" s="1320" t="e">
        <f>O28+O29-O30</f>
        <v>#VALUE!</v>
      </c>
      <c r="P31" s="163"/>
      <c r="T31" s="7" t="s">
        <v>582</v>
      </c>
      <c r="AD31" s="233"/>
      <c r="AE31" s="233"/>
      <c r="AF31" s="233"/>
      <c r="AG31" s="233"/>
      <c r="AH31" s="233"/>
      <c r="AI31" s="19"/>
      <c r="AJ31" s="520"/>
      <c r="AK31" s="521"/>
      <c r="AL31" s="520"/>
      <c r="AM31" s="520"/>
      <c r="AO31" s="233"/>
    </row>
    <row r="32" spans="1:68" ht="17.350000000000001" customHeight="1" x14ac:dyDescent="0.2">
      <c r="A32" s="247"/>
      <c r="B32" s="3387"/>
      <c r="C32" s="1308">
        <f t="shared" si="0"/>
        <v>27</v>
      </c>
      <c r="D32" s="1501"/>
      <c r="E32" s="1471" t="s">
        <v>587</v>
      </c>
      <c r="F32" s="1475"/>
      <c r="G32" s="1475"/>
      <c r="H32" s="1475"/>
      <c r="I32" s="1475"/>
      <c r="J32" s="1475"/>
      <c r="K32" s="1475"/>
      <c r="L32" s="1370" t="s">
        <v>158</v>
      </c>
      <c r="M32" s="1502" t="e">
        <f>IF(M12=0,0,M31/M12)</f>
        <v>#VALUE!</v>
      </c>
      <c r="N32" s="1180" t="e">
        <f>IF(N12=0,0,N31/N12)</f>
        <v>#VALUE!</v>
      </c>
      <c r="O32" s="1503" t="e">
        <f>IF(O12=0,0,O31/O12)</f>
        <v>#VALUE!</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t="e">
        <f>IF(M13=0,0,M31/M13)</f>
        <v>#VALUE!</v>
      </c>
      <c r="N33" s="1194" t="e">
        <f>IF(N13=0,0,N31/N13)</f>
        <v>#VALUE!</v>
      </c>
      <c r="O33" s="1508" t="e">
        <f>IF(O13=0,0,O31/O13)</f>
        <v>#VALUE!</v>
      </c>
      <c r="P33" s="163"/>
      <c r="AD33" s="233"/>
      <c r="AE33" s="233"/>
      <c r="AF33" s="233"/>
      <c r="AG33" s="233"/>
      <c r="AH33" s="233"/>
      <c r="AI33" s="19"/>
      <c r="AJ33" s="520"/>
      <c r="AK33" s="521"/>
      <c r="AL33" s="520"/>
      <c r="AM33" s="520"/>
      <c r="AO33" s="233"/>
    </row>
    <row r="34" spans="1:68" s="291" customFormat="1" ht="5.95"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7" customHeight="1" x14ac:dyDescent="0.2">
      <c r="A35" s="163"/>
      <c r="B35" s="3355" t="s">
        <v>226</v>
      </c>
      <c r="C35" s="1448">
        <f>C33+1</f>
        <v>29</v>
      </c>
      <c r="D35" s="1788"/>
      <c r="E35" s="1789" t="s">
        <v>31</v>
      </c>
      <c r="F35" s="1789"/>
      <c r="G35" s="1789"/>
      <c r="H35" s="1789"/>
      <c r="I35" s="1789"/>
      <c r="J35" s="1789"/>
      <c r="K35" s="1789"/>
      <c r="L35" s="1790" t="s">
        <v>161</v>
      </c>
      <c r="M35" s="1772" t="e">
        <f>'Grünroggen-(a)'!K57</f>
        <v>#N/A</v>
      </c>
      <c r="N35" s="1771" t="e">
        <f>'Grünroggen-(a)'!M57</f>
        <v>#N/A</v>
      </c>
      <c r="O35" s="1773" t="e">
        <f>'Grünroggen-(a)'!O57</f>
        <v>#N/A</v>
      </c>
      <c r="P35" s="163"/>
      <c r="AD35" s="163"/>
      <c r="AE35" s="163"/>
      <c r="AF35" s="163"/>
      <c r="AG35" s="163"/>
      <c r="AH35" s="163"/>
      <c r="AI35" s="163"/>
      <c r="AJ35" s="163"/>
      <c r="AK35" s="163"/>
      <c r="AL35" s="163"/>
      <c r="AM35" s="163"/>
      <c r="AO35" s="238"/>
    </row>
    <row r="36" spans="1:68" ht="17.7" customHeight="1" x14ac:dyDescent="0.3">
      <c r="A36" s="163"/>
      <c r="B36" s="3356"/>
      <c r="C36" s="1372">
        <f>C35+1</f>
        <v>30</v>
      </c>
      <c r="D36" s="1454"/>
      <c r="E36" s="142" t="s">
        <v>162</v>
      </c>
      <c r="F36" s="142"/>
      <c r="G36" s="1530"/>
      <c r="H36" s="1530"/>
      <c r="I36" s="1539">
        <f>IF(M36=0,0,'Lager-Fläche'!$L$13)</f>
        <v>0</v>
      </c>
      <c r="J36" s="218" t="s">
        <v>32</v>
      </c>
      <c r="K36" s="218"/>
      <c r="L36" s="1531" t="s">
        <v>378</v>
      </c>
      <c r="M36" s="1802">
        <f>'Grünroggen-(a)'!L10</f>
        <v>0</v>
      </c>
      <c r="N36" s="1803">
        <f>'Grünroggen-(a)'!N10</f>
        <v>0</v>
      </c>
      <c r="O36" s="1804">
        <f>'Grünroggen-(a)'!P10</f>
        <v>0</v>
      </c>
      <c r="P36" s="163"/>
      <c r="AD36" s="163"/>
      <c r="AE36" s="163"/>
      <c r="AF36" s="163"/>
      <c r="AG36" s="163"/>
      <c r="AH36" s="163"/>
      <c r="AI36" s="163"/>
      <c r="AJ36" s="163"/>
      <c r="AK36" s="163"/>
      <c r="AL36" s="163"/>
      <c r="AM36" s="163"/>
      <c r="AO36" s="238"/>
    </row>
    <row r="37" spans="1:68" ht="20.399999999999999" customHeight="1" x14ac:dyDescent="0.2">
      <c r="A37" s="163"/>
      <c r="B37" s="3356"/>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7" customHeight="1" x14ac:dyDescent="0.2">
      <c r="B38" s="3356"/>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6"/>
      <c r="C39" s="1349">
        <f t="shared" si="1"/>
        <v>33</v>
      </c>
      <c r="D39" s="1347"/>
      <c r="E39" s="17" t="s">
        <v>228</v>
      </c>
      <c r="F39" s="17"/>
      <c r="G39" s="17"/>
      <c r="H39" s="17"/>
      <c r="I39" s="17"/>
      <c r="J39" s="17"/>
      <c r="K39" s="17"/>
      <c r="L39" s="1198" t="s">
        <v>154</v>
      </c>
      <c r="M39" s="235">
        <f>Maschinen!$V$43</f>
        <v>299.61640083333333</v>
      </c>
      <c r="N39" s="1186">
        <f>Maschinen!$V$43</f>
        <v>299.61640083333333</v>
      </c>
      <c r="O39" s="1192">
        <f>Maschinen!$V$43</f>
        <v>299.61640083333333</v>
      </c>
      <c r="P39" s="163"/>
      <c r="AD39" s="163"/>
      <c r="AE39" s="163"/>
      <c r="AF39" s="163"/>
      <c r="AG39" s="163"/>
      <c r="AH39" s="163"/>
      <c r="AI39" s="163"/>
      <c r="AJ39" s="163"/>
      <c r="AK39" s="163"/>
      <c r="AL39" s="163"/>
      <c r="AM39" s="163"/>
      <c r="AO39" s="671"/>
    </row>
    <row r="40" spans="1:68" ht="16.5" customHeight="1" x14ac:dyDescent="0.2">
      <c r="B40" s="3356"/>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6"/>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6"/>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399999999999999" customHeight="1" thickBot="1" x14ac:dyDescent="0.25">
      <c r="B43" s="3357"/>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5.95"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 customHeight="1" x14ac:dyDescent="0.2">
      <c r="B45" s="3355"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 customHeight="1" thickBot="1" x14ac:dyDescent="0.25">
      <c r="B46" s="3358"/>
      <c r="C46" s="1350">
        <f>C45+1</f>
        <v>39</v>
      </c>
      <c r="D46" s="1193" t="s">
        <v>589</v>
      </c>
      <c r="E46" s="1334"/>
      <c r="F46" s="1451"/>
      <c r="G46" s="1451"/>
      <c r="H46" s="1451"/>
      <c r="I46" s="1535"/>
      <c r="J46" s="1535"/>
      <c r="K46" s="1535"/>
      <c r="L46" s="1209" t="s">
        <v>154</v>
      </c>
      <c r="M46" s="1497" t="e">
        <f>M27+M30+M43</f>
        <v>#VALUE!</v>
      </c>
      <c r="N46" s="1497" t="e">
        <f>N27+N30+N43</f>
        <v>#VALUE!</v>
      </c>
      <c r="O46" s="1536" t="e">
        <f>O27+O30+O43</f>
        <v>#VALUE!</v>
      </c>
      <c r="P46" s="163"/>
      <c r="AD46" s="9"/>
      <c r="AE46" s="9"/>
      <c r="AF46" s="9"/>
      <c r="AG46" s="9"/>
      <c r="AH46" s="9"/>
      <c r="AI46" s="19"/>
      <c r="AJ46" s="520"/>
      <c r="AK46" s="521"/>
      <c r="AL46" s="520"/>
      <c r="AM46" s="520"/>
      <c r="AO46" s="9"/>
    </row>
    <row r="47" spans="1:68" ht="18.7" customHeight="1" x14ac:dyDescent="0.2">
      <c r="B47" s="3358"/>
      <c r="C47" s="1448">
        <f>C46+1</f>
        <v>40</v>
      </c>
      <c r="D47" s="1461" t="s">
        <v>590</v>
      </c>
      <c r="E47" s="1462"/>
      <c r="F47" s="1195"/>
      <c r="G47" s="1195"/>
      <c r="H47" s="1195"/>
      <c r="I47" s="1195"/>
      <c r="J47" s="1195"/>
      <c r="K47" s="1195"/>
      <c r="L47" s="1215" t="s">
        <v>154</v>
      </c>
      <c r="M47" s="1667" t="e">
        <f>M45-M46</f>
        <v>#VALUE!</v>
      </c>
      <c r="N47" s="1667" t="e">
        <f>N45-N46</f>
        <v>#VALUE!</v>
      </c>
      <c r="O47" s="1668" t="e">
        <f>O45-O46</f>
        <v>#VALUE!</v>
      </c>
      <c r="P47" s="163"/>
      <c r="AD47" s="9"/>
      <c r="AE47" s="9"/>
      <c r="AF47" s="9"/>
      <c r="AG47" s="9"/>
      <c r="AH47" s="237"/>
      <c r="AI47" s="237"/>
      <c r="AJ47" s="1082"/>
      <c r="AK47" s="1083"/>
      <c r="AL47" s="1082"/>
      <c r="AM47" s="1082"/>
      <c r="AO47" s="9"/>
    </row>
    <row r="48" spans="1:68" s="1446" customFormat="1" ht="18.7" customHeight="1" x14ac:dyDescent="0.2">
      <c r="A48" s="645"/>
      <c r="B48" s="3358"/>
      <c r="C48" s="1369">
        <f>C47+1</f>
        <v>41</v>
      </c>
      <c r="D48" s="1543" t="s">
        <v>569</v>
      </c>
      <c r="E48" s="1463"/>
      <c r="F48" s="1464"/>
      <c r="G48" s="1464"/>
      <c r="H48" s="1464"/>
      <c r="I48" s="1465"/>
      <c r="J48" s="1465"/>
      <c r="K48" s="1465"/>
      <c r="L48" s="1466" t="s">
        <v>154</v>
      </c>
      <c r="M48" s="1664">
        <f>M17</f>
        <v>500</v>
      </c>
      <c r="N48" s="1665">
        <f>N17</f>
        <v>500</v>
      </c>
      <c r="O48" s="1666">
        <f>O17</f>
        <v>500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 customHeight="1" thickBot="1" x14ac:dyDescent="0.25">
      <c r="B49" s="3359"/>
      <c r="C49" s="1350">
        <f>C48+1</f>
        <v>42</v>
      </c>
      <c r="D49" s="1467" t="s">
        <v>591</v>
      </c>
      <c r="E49" s="1334"/>
      <c r="F49" s="1451"/>
      <c r="G49" s="1451"/>
      <c r="H49" s="1451"/>
      <c r="I49" s="1451"/>
      <c r="J49" s="1451"/>
      <c r="K49" s="1451"/>
      <c r="L49" s="1209" t="s">
        <v>154</v>
      </c>
      <c r="M49" s="1449" t="e">
        <f>M47+M48</f>
        <v>#VALUE!</v>
      </c>
      <c r="N49" s="1449" t="e">
        <f>N47+N48</f>
        <v>#VALUE!</v>
      </c>
      <c r="O49" s="1452" t="e">
        <f>O47+O48</f>
        <v>#VALUE!</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97"/>
      <c r="C51" s="1448">
        <f>C49+1</f>
        <v>43</v>
      </c>
      <c r="D51" s="1333" t="s">
        <v>578</v>
      </c>
      <c r="E51" s="1462"/>
      <c r="F51" s="1195"/>
      <c r="G51" s="1195"/>
      <c r="H51" s="1195"/>
      <c r="I51" s="1195"/>
      <c r="J51" s="1462"/>
      <c r="K51" s="1462"/>
      <c r="L51" s="1215" t="s">
        <v>154</v>
      </c>
      <c r="M51" s="1315" t="e">
        <f>M46-M48</f>
        <v>#VALUE!</v>
      </c>
      <c r="N51" s="1315" t="e">
        <f>N46-N48</f>
        <v>#VALUE!</v>
      </c>
      <c r="O51" s="2149" t="e">
        <f>O46-O48</f>
        <v>#VALUE!</v>
      </c>
      <c r="P51" s="163"/>
      <c r="AD51" s="17"/>
      <c r="AE51" s="17"/>
      <c r="AF51" s="17"/>
      <c r="AG51" s="17"/>
      <c r="AH51" s="238"/>
      <c r="AI51" s="19"/>
      <c r="AJ51" s="1082"/>
      <c r="AK51" s="1083"/>
      <c r="AL51" s="1082"/>
      <c r="AM51" s="1082"/>
      <c r="AO51" s="9"/>
    </row>
    <row r="52" spans="1:68" ht="16.5" customHeight="1" x14ac:dyDescent="0.2">
      <c r="B52" s="3356"/>
      <c r="C52" s="1349">
        <f t="shared" ref="C52:C62" si="2">C51+1</f>
        <v>44</v>
      </c>
      <c r="D52" s="1188"/>
      <c r="E52" s="1318"/>
      <c r="F52" s="1182"/>
      <c r="G52" s="1182"/>
      <c r="H52" s="1182"/>
      <c r="I52" s="1294"/>
      <c r="J52" s="1294"/>
      <c r="L52" s="1370" t="s">
        <v>101</v>
      </c>
      <c r="M52" s="1739" t="e">
        <f>IF(M10=0,0,M$51/M10)</f>
        <v>#VALUE!</v>
      </c>
      <c r="N52" s="1740" t="e">
        <f>IF(N10=0,0,N$51/N10)</f>
        <v>#VALUE!</v>
      </c>
      <c r="O52" s="1741" t="e">
        <f>IF(O10=0,0,O$51/O10)</f>
        <v>#VALUE!</v>
      </c>
      <c r="P52" s="163"/>
      <c r="AD52" s="17"/>
      <c r="AE52" s="17"/>
      <c r="AF52" s="17"/>
      <c r="AG52" s="17"/>
      <c r="AH52" s="238"/>
      <c r="AI52" s="19"/>
      <c r="AJ52" s="1082"/>
      <c r="AK52" s="1083"/>
      <c r="AL52" s="1082"/>
      <c r="AM52" s="1082"/>
      <c r="AO52" s="9"/>
    </row>
    <row r="53" spans="1:68" ht="16.5" customHeight="1" x14ac:dyDescent="0.2">
      <c r="B53" s="3356"/>
      <c r="C53" s="1349">
        <f t="shared" si="2"/>
        <v>45</v>
      </c>
      <c r="E53" s="1375" t="s">
        <v>318</v>
      </c>
      <c r="G53" s="1182"/>
      <c r="H53" s="1182"/>
      <c r="I53" s="1294"/>
      <c r="J53" s="1294"/>
      <c r="K53" s="1473"/>
      <c r="L53" s="1370" t="s">
        <v>464</v>
      </c>
      <c r="M53" s="1739" t="e">
        <f>IF(M9=0,0,M$51/M9)</f>
        <v>#VALUE!</v>
      </c>
      <c r="N53" s="1740" t="e">
        <f>IF(N9=0,0,N$51/N9)</f>
        <v>#VALUE!</v>
      </c>
      <c r="O53" s="1741" t="e">
        <f>IF(O9=0,0,O$51/O9)</f>
        <v>#VALUE!</v>
      </c>
      <c r="P53" s="163"/>
      <c r="AD53" s="17"/>
      <c r="AE53" s="17"/>
      <c r="AF53" s="17"/>
      <c r="AG53" s="17"/>
      <c r="AH53" s="238"/>
      <c r="AI53" s="19"/>
      <c r="AJ53" s="1082"/>
      <c r="AK53" s="1083"/>
      <c r="AL53" s="1082"/>
      <c r="AM53" s="1082"/>
      <c r="AO53" s="9"/>
    </row>
    <row r="54" spans="1:68" ht="16.5" customHeight="1" x14ac:dyDescent="0.2">
      <c r="B54" s="3356"/>
      <c r="C54" s="1349">
        <f t="shared" si="2"/>
        <v>46</v>
      </c>
      <c r="E54" s="1501" t="s">
        <v>592</v>
      </c>
      <c r="F54" s="1472"/>
      <c r="G54" s="1472"/>
      <c r="H54" s="1472"/>
      <c r="I54" s="1473"/>
      <c r="J54" s="1473"/>
      <c r="K54" s="1473"/>
      <c r="L54" s="1370" t="s">
        <v>374</v>
      </c>
      <c r="M54" s="1739" t="e">
        <f t="shared" ref="M54:O55" si="3">IF(M11=0,0,M$51/M11)</f>
        <v>#VALUE!</v>
      </c>
      <c r="N54" s="1740" t="e">
        <f t="shared" si="3"/>
        <v>#VALUE!</v>
      </c>
      <c r="O54" s="1741" t="e">
        <f t="shared" si="3"/>
        <v>#VALUE!</v>
      </c>
      <c r="P54" s="163"/>
      <c r="AD54" s="17"/>
      <c r="AE54" s="17"/>
      <c r="AF54" s="17"/>
      <c r="AG54" s="17"/>
      <c r="AH54" s="238"/>
      <c r="AI54" s="19"/>
      <c r="AJ54" s="1082"/>
      <c r="AK54" s="1083"/>
      <c r="AL54" s="1082"/>
      <c r="AM54" s="1082"/>
      <c r="AO54" s="9"/>
    </row>
    <row r="55" spans="1:68" ht="16.5" customHeight="1" x14ac:dyDescent="0.2">
      <c r="B55" s="3356"/>
      <c r="C55" s="1349">
        <f t="shared" si="2"/>
        <v>47</v>
      </c>
      <c r="D55" s="1474"/>
      <c r="E55" s="1476"/>
      <c r="F55" s="1477"/>
      <c r="G55" s="1477"/>
      <c r="H55" s="1477"/>
      <c r="I55" s="1473"/>
      <c r="J55" s="1473"/>
      <c r="K55" s="1473"/>
      <c r="L55" s="1370" t="s">
        <v>158</v>
      </c>
      <c r="M55" s="1658" t="e">
        <f t="shared" si="3"/>
        <v>#VALUE!</v>
      </c>
      <c r="N55" s="1659" t="e">
        <f t="shared" si="3"/>
        <v>#VALUE!</v>
      </c>
      <c r="O55" s="1660" t="e">
        <f t="shared" si="3"/>
        <v>#VALUE!</v>
      </c>
      <c r="P55" s="163"/>
      <c r="AD55" s="104"/>
      <c r="AE55" s="104"/>
      <c r="AF55" s="104"/>
      <c r="AG55" s="104"/>
      <c r="AH55" s="239"/>
      <c r="AI55" s="19"/>
      <c r="AJ55" s="1084"/>
      <c r="AK55" s="1085"/>
      <c r="AL55" s="1084"/>
      <c r="AM55" s="1084"/>
      <c r="AO55" s="9"/>
    </row>
    <row r="56" spans="1:68" ht="16.5" customHeight="1" x14ac:dyDescent="0.2">
      <c r="B56" s="3356"/>
      <c r="C56" s="1349">
        <f t="shared" ref="C56:C61" si="4">C55+1</f>
        <v>48</v>
      </c>
      <c r="D56" s="1474"/>
      <c r="E56" s="2165"/>
      <c r="F56" s="1477"/>
      <c r="G56" s="1477"/>
      <c r="H56" s="1477"/>
      <c r="I56" s="1473"/>
      <c r="J56" s="1473"/>
      <c r="K56" s="1473"/>
      <c r="L56" s="1370" t="s">
        <v>159</v>
      </c>
      <c r="M56" s="1658" t="e">
        <f>IF(M13=0,0,M$51/M13)</f>
        <v>#VALUE!</v>
      </c>
      <c r="N56" s="1659" t="e">
        <f>IF(N13=0,0,N$51/N13)</f>
        <v>#VALUE!</v>
      </c>
      <c r="O56" s="1660" t="e">
        <f>IF(O13=0,0,O$51/O13)</f>
        <v>#VALUE!</v>
      </c>
      <c r="P56" s="163"/>
      <c r="AD56" s="104"/>
      <c r="AE56" s="104"/>
      <c r="AF56" s="104"/>
      <c r="AG56" s="104"/>
      <c r="AH56" s="239"/>
      <c r="AI56" s="19"/>
      <c r="AJ56" s="1084"/>
      <c r="AK56" s="1085"/>
      <c r="AL56" s="1084"/>
      <c r="AM56" s="1084"/>
      <c r="AO56" s="9"/>
    </row>
    <row r="57" spans="1:68" ht="16.5" customHeight="1" x14ac:dyDescent="0.2">
      <c r="B57" s="3356"/>
      <c r="C57" s="1372">
        <f t="shared" si="4"/>
        <v>49</v>
      </c>
      <c r="D57" s="1478"/>
      <c r="E57" s="2164" t="s">
        <v>571</v>
      </c>
      <c r="F57" s="2148">
        <v>36</v>
      </c>
      <c r="G57" s="379" t="s">
        <v>579</v>
      </c>
      <c r="H57" s="1480"/>
      <c r="I57" s="1481"/>
      <c r="J57" s="1481"/>
      <c r="K57" s="1481"/>
      <c r="L57" s="1482" t="s">
        <v>583</v>
      </c>
      <c r="M57" s="1661" t="e">
        <f>M51/$M$12*10/$F$57</f>
        <v>#VALUE!</v>
      </c>
      <c r="N57" s="1662" t="e">
        <f>N51/$N$12*10/$F$57</f>
        <v>#VALUE!</v>
      </c>
      <c r="O57" s="1663" t="e">
        <f>O51/$O$12*10/$F$57</f>
        <v>#VALUE!</v>
      </c>
      <c r="P57" s="163"/>
      <c r="AD57" s="104"/>
      <c r="AE57" s="104"/>
      <c r="AF57" s="104"/>
      <c r="AG57" s="104"/>
      <c r="AH57" s="239"/>
      <c r="AI57" s="19"/>
      <c r="AJ57" s="1084"/>
      <c r="AK57" s="1085"/>
      <c r="AL57" s="1084"/>
      <c r="AM57" s="1084"/>
      <c r="AO57" s="9"/>
    </row>
    <row r="58" spans="1:68" s="291" customFormat="1" ht="21.25" customHeight="1" x14ac:dyDescent="0.2">
      <c r="B58" s="3356"/>
      <c r="C58" s="1349">
        <f t="shared" si="4"/>
        <v>50</v>
      </c>
      <c r="D58" s="1185" t="s">
        <v>580</v>
      </c>
      <c r="E58" s="1484"/>
      <c r="F58" s="1182"/>
      <c r="G58" s="1182"/>
      <c r="H58" s="1182"/>
      <c r="I58" s="1294"/>
      <c r="J58" s="1294"/>
      <c r="K58" s="1294"/>
      <c r="L58" s="1208" t="s">
        <v>154</v>
      </c>
      <c r="M58" s="1313" t="e">
        <f>M51-M38</f>
        <v>#VALUE!</v>
      </c>
      <c r="N58" s="1313" t="e">
        <f>N51-N38</f>
        <v>#VALUE!</v>
      </c>
      <c r="O58" s="1320" t="e">
        <f>O51-O38</f>
        <v>#VALUE!</v>
      </c>
      <c r="P58" s="247"/>
      <c r="AD58" s="132"/>
      <c r="AE58" s="132"/>
      <c r="AF58" s="132"/>
      <c r="AG58" s="132"/>
      <c r="AH58" s="377"/>
      <c r="AI58" s="376"/>
      <c r="AJ58" s="1086"/>
      <c r="AK58" s="1086"/>
      <c r="AL58" s="1086"/>
      <c r="AM58" s="1086"/>
      <c r="AO58" s="373"/>
    </row>
    <row r="59" spans="1:68" s="291" customFormat="1" ht="16.5" customHeight="1" x14ac:dyDescent="0.2">
      <c r="B59" s="3356"/>
      <c r="C59" s="1349">
        <f t="shared" si="4"/>
        <v>51</v>
      </c>
      <c r="D59" s="1185"/>
      <c r="E59" s="2172" t="s">
        <v>593</v>
      </c>
      <c r="F59" s="1182"/>
      <c r="G59" s="1182"/>
      <c r="H59" s="1182"/>
      <c r="I59" s="1294"/>
      <c r="J59" s="1294"/>
      <c r="K59" s="1294"/>
      <c r="L59" s="1208" t="s">
        <v>464</v>
      </c>
      <c r="M59" s="2166" t="e">
        <f>M58/M7</f>
        <v>#VALUE!</v>
      </c>
      <c r="N59" s="2166" t="e">
        <f>N58/N7</f>
        <v>#VALUE!</v>
      </c>
      <c r="O59" s="2167" t="e">
        <f>O58/O7</f>
        <v>#VALUE!</v>
      </c>
      <c r="P59" s="247"/>
      <c r="AD59" s="132"/>
      <c r="AE59" s="132"/>
      <c r="AF59" s="132"/>
      <c r="AG59" s="132"/>
      <c r="AH59" s="377"/>
      <c r="AI59" s="376"/>
      <c r="AJ59" s="1086"/>
      <c r="AK59" s="1086"/>
      <c r="AL59" s="1086"/>
      <c r="AM59" s="1086"/>
      <c r="AO59" s="373"/>
    </row>
    <row r="60" spans="1:68" s="371" customFormat="1" ht="16.5" customHeight="1" x14ac:dyDescent="0.2">
      <c r="A60" s="291"/>
      <c r="B60" s="3356"/>
      <c r="C60" s="1349">
        <f t="shared" si="4"/>
        <v>52</v>
      </c>
      <c r="D60" s="1475"/>
      <c r="E60" s="1471"/>
      <c r="F60" s="1476"/>
      <c r="G60" s="1476"/>
      <c r="H60" s="1476"/>
      <c r="I60" s="1965"/>
      <c r="J60" s="374"/>
      <c r="K60" s="374"/>
      <c r="L60" s="1214" t="s">
        <v>158</v>
      </c>
      <c r="M60" s="1656" t="e">
        <f>IF(M12=0,0,M$58/M12)</f>
        <v>#VALUE!</v>
      </c>
      <c r="N60" s="1580" t="e">
        <f>IF(N12=0,0,N$58/N12)</f>
        <v>#VALUE!</v>
      </c>
      <c r="O60" s="1657" t="e">
        <f>IF(O12=0,0,O$58/O12)</f>
        <v>#VALUE!</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6"/>
      <c r="C61" s="1349">
        <f t="shared" si="4"/>
        <v>53</v>
      </c>
      <c r="D61" s="2169"/>
      <c r="E61" s="291"/>
      <c r="F61" s="291"/>
      <c r="G61" s="291"/>
      <c r="H61" s="375"/>
      <c r="I61" s="374"/>
      <c r="J61" s="374"/>
      <c r="K61" s="1473"/>
      <c r="L61" s="1214" t="s">
        <v>583</v>
      </c>
      <c r="M61" s="2170" t="e">
        <f>M58/$M$12*10/$F$57</f>
        <v>#VALUE!</v>
      </c>
      <c r="N61" s="1580" t="e">
        <f>N58/$N$12*10/$F$57</f>
        <v>#VALUE!</v>
      </c>
      <c r="O61" s="2171" t="e">
        <f>O58/$O$12*10/$F$57</f>
        <v>#VALUE!</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72">
        <f t="shared" si="2"/>
        <v>54</v>
      </c>
      <c r="D62" s="570"/>
      <c r="E62" s="2168"/>
      <c r="F62" s="379"/>
      <c r="G62" s="379"/>
      <c r="H62" s="379"/>
      <c r="I62" s="380"/>
      <c r="J62" s="380"/>
      <c r="K62" s="1481"/>
      <c r="L62" s="1216" t="s">
        <v>159</v>
      </c>
      <c r="M62" s="1487" t="e">
        <f>IF(M13=0,0,M$58/M13)</f>
        <v>#VALUE!</v>
      </c>
      <c r="N62" s="1377" t="e">
        <f>IF(N13=0,0,N$58/N13)</f>
        <v>#VALUE!</v>
      </c>
      <c r="O62" s="1488" t="e">
        <f>IF(O13=0,0,O$58/O13)</f>
        <v>#VALUE!</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5" customHeight="1" thickBot="1" x14ac:dyDescent="0.25">
      <c r="B63" s="339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6"/>
      <c r="C64" s="1448">
        <f>C62+1</f>
        <v>55</v>
      </c>
      <c r="D64" s="1461" t="s">
        <v>594</v>
      </c>
      <c r="E64" s="1462"/>
      <c r="F64" s="1333"/>
      <c r="G64" s="1333"/>
      <c r="H64" s="1333"/>
      <c r="I64" s="1333"/>
      <c r="J64" s="1333"/>
      <c r="K64" s="1333"/>
      <c r="L64" s="1215" t="s">
        <v>154</v>
      </c>
      <c r="M64" s="1316" t="e">
        <f>SUM(M19:M23)+M30</f>
        <v>#VALUE!</v>
      </c>
      <c r="N64" s="1316" t="e">
        <f>SUM(N19:N23)+N30</f>
        <v>#VALUE!</v>
      </c>
      <c r="O64" s="1317" t="e">
        <f>SUM(O19:O23)+O30</f>
        <v>#VALUE!</v>
      </c>
      <c r="P64" s="163"/>
      <c r="AD64" s="233"/>
      <c r="AE64" s="233"/>
      <c r="AF64" s="233"/>
      <c r="AG64" s="233"/>
      <c r="AH64" s="233"/>
      <c r="AI64" s="19"/>
      <c r="AJ64" s="520"/>
      <c r="AK64" s="521"/>
      <c r="AL64" s="520"/>
      <c r="AM64" s="520"/>
      <c r="AO64" s="233"/>
    </row>
    <row r="65" spans="2:41" ht="16.5" customHeight="1" x14ac:dyDescent="0.2">
      <c r="B65" s="3356"/>
      <c r="C65" s="1372">
        <f>C64+1</f>
        <v>56</v>
      </c>
      <c r="D65" s="1485"/>
      <c r="E65" s="1486"/>
      <c r="F65" s="1485"/>
      <c r="G65" s="1485"/>
      <c r="H65" s="1485"/>
      <c r="I65" s="1485"/>
      <c r="J65" s="1485"/>
      <c r="K65" s="1485"/>
      <c r="L65" s="1482" t="s">
        <v>158</v>
      </c>
      <c r="M65" s="1487" t="e">
        <f>M64/M12</f>
        <v>#VALUE!</v>
      </c>
      <c r="N65" s="1377" t="e">
        <f>N64/N12</f>
        <v>#VALUE!</v>
      </c>
      <c r="O65" s="1488" t="e">
        <f>O64/O12</f>
        <v>#VALUE!</v>
      </c>
      <c r="P65" s="163"/>
      <c r="AD65" s="233"/>
      <c r="AE65" s="233"/>
      <c r="AF65" s="233"/>
      <c r="AG65" s="233"/>
      <c r="AH65" s="233"/>
      <c r="AI65" s="19"/>
      <c r="AJ65" s="520"/>
      <c r="AK65" s="521"/>
      <c r="AL65" s="520"/>
      <c r="AM65" s="520"/>
      <c r="AO65" s="233"/>
    </row>
    <row r="66" spans="2:41" ht="16.5" customHeight="1" x14ac:dyDescent="0.2">
      <c r="B66" s="3356"/>
      <c r="C66" s="1349">
        <f>C65+1</f>
        <v>57</v>
      </c>
      <c r="D66" s="1492" t="s">
        <v>595</v>
      </c>
      <c r="E66" s="1378"/>
      <c r="F66" s="1493"/>
      <c r="G66" s="1493"/>
      <c r="H66" s="1493"/>
      <c r="I66" s="1493"/>
      <c r="J66" s="1493"/>
      <c r="K66" s="1493"/>
      <c r="L66" s="1332" t="s">
        <v>154</v>
      </c>
      <c r="M66" s="1494" t="e">
        <f>N24+M25+M26+M39+M37</f>
        <v>#VALUE!</v>
      </c>
      <c r="N66" s="1494" t="e">
        <f>N24+N25+N26+N39+N37</f>
        <v>#VALUE!</v>
      </c>
      <c r="O66" s="1495" t="e">
        <f>O24+O25+O26+O39+O37</f>
        <v>#VALUE!</v>
      </c>
      <c r="P66" s="163"/>
      <c r="AD66" s="233"/>
      <c r="AE66" s="233"/>
      <c r="AF66" s="233"/>
      <c r="AG66" s="233"/>
      <c r="AH66" s="233"/>
      <c r="AI66" s="19"/>
      <c r="AJ66" s="520"/>
      <c r="AK66" s="521"/>
      <c r="AL66" s="520"/>
      <c r="AM66" s="520"/>
      <c r="AO66" s="233"/>
    </row>
    <row r="67" spans="2:41" ht="14.95" customHeight="1" thickBot="1" x14ac:dyDescent="0.25">
      <c r="B67" s="3357"/>
      <c r="C67" s="1350">
        <f>C66+1</f>
        <v>58</v>
      </c>
      <c r="D67" s="1489" t="s">
        <v>596</v>
      </c>
      <c r="E67" s="1490"/>
      <c r="F67" s="1490"/>
      <c r="G67" s="1490"/>
      <c r="H67" s="1490"/>
      <c r="I67" s="1490"/>
      <c r="J67" s="1490"/>
      <c r="K67" s="1490"/>
      <c r="L67" s="1491" t="s">
        <v>158</v>
      </c>
      <c r="M67" s="1614" t="e">
        <f>M66/M12</f>
        <v>#VALUE!</v>
      </c>
      <c r="N67" s="1612" t="e">
        <f>N66/N12</f>
        <v>#VALUE!</v>
      </c>
      <c r="O67" s="1631" t="e">
        <f>O66/O12</f>
        <v>#VALUE!</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19"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useFirstPageNumber="1" horizontalDpi="300" verticalDpi="300" r:id="rId1"/>
      <headerFooter alignWithMargins="0">
        <oddFooter>&amp;L&amp;12LEL Schwäbisch Gmünd (Abtlg. II)
LAZBW Aulendorf&amp;C&amp;12 67&amp;9
&amp;R&amp;12&amp;F
&amp;A</oddFooter>
      </headerFooter>
    </customSheetView>
  </customSheetViews>
  <mergeCells count="10">
    <mergeCell ref="B51:B67"/>
    <mergeCell ref="D19:D23"/>
    <mergeCell ref="B45:B49"/>
    <mergeCell ref="B35:B43"/>
    <mergeCell ref="G3:O3"/>
    <mergeCell ref="B2:B4"/>
    <mergeCell ref="B19:B27"/>
    <mergeCell ref="B6:B13"/>
    <mergeCell ref="B15:B17"/>
    <mergeCell ref="B28:B33"/>
  </mergeCells>
  <phoneticPr fontId="0" type="noConversion"/>
  <printOptions horizontalCentered="1"/>
  <pageMargins left="0.51181102362204722" right="0.27559055118110237" top="0.55118110236220474" bottom="0.70866141732283472"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67&amp;9
&amp;R&amp;12&amp;F
&amp;A</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CA73"/>
  <sheetViews>
    <sheetView showGridLines="0" showZeros="0" zoomScale="90" workbookViewId="0">
      <pane xSplit="10" ySplit="5" topLeftCell="K18"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2.9" x14ac:dyDescent="0.2"/>
  <cols>
    <col min="1" max="1" width="7.625" style="8" customWidth="1"/>
    <col min="2" max="2" width="8" style="8" customWidth="1"/>
    <col min="3" max="3" width="1" style="7" customWidth="1"/>
    <col min="4" max="4" width="17.375" style="7" customWidth="1"/>
    <col min="5" max="6" width="7.62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9.625" style="7" customWidth="1"/>
    <col min="15" max="15" width="8.625" style="291" customWidth="1"/>
    <col min="16" max="16" width="11.625" style="291" customWidth="1"/>
    <col min="17" max="17" width="20.37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5">
      <c r="A2" s="182" t="s">
        <v>387</v>
      </c>
      <c r="B2" s="183"/>
      <c r="C2" s="1829" t="s">
        <v>388</v>
      </c>
      <c r="D2" s="1830"/>
      <c r="E2" s="1111"/>
      <c r="F2" s="1111"/>
      <c r="G2" s="1831" t="s">
        <v>256</v>
      </c>
      <c r="H2" s="1836" t="e">
        <f>#REF!</f>
        <v>#REF!</v>
      </c>
      <c r="I2" s="1837" t="s">
        <v>490</v>
      </c>
      <c r="J2" s="1838">
        <f>Prämien!Y2</f>
        <v>2018</v>
      </c>
      <c r="K2" s="1839" t="s">
        <v>389</v>
      </c>
      <c r="L2" s="1111"/>
      <c r="M2" s="3407" t="s">
        <v>585</v>
      </c>
      <c r="N2" s="3407"/>
      <c r="O2" s="3407"/>
      <c r="P2" s="3408"/>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631</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39" t="s">
        <v>72</v>
      </c>
      <c r="K5" s="358"/>
      <c r="L5" s="359"/>
      <c r="M5" s="311"/>
      <c r="N5" s="1687"/>
      <c r="O5" s="311"/>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748"/>
      <c r="B6" s="471"/>
      <c r="C6" s="412"/>
      <c r="D6" s="573" t="s">
        <v>121</v>
      </c>
      <c r="E6" s="573"/>
      <c r="F6" s="575" t="s">
        <v>437</v>
      </c>
      <c r="G6" s="413"/>
      <c r="H6" s="579" t="s">
        <v>414</v>
      </c>
      <c r="I6" s="293"/>
      <c r="J6" s="571" t="s">
        <v>487</v>
      </c>
      <c r="K6" s="577"/>
      <c r="L6" s="581"/>
      <c r="M6" s="577"/>
      <c r="N6" s="581"/>
      <c r="O6" s="577"/>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749"/>
      <c r="B7" s="702"/>
      <c r="C7" s="412"/>
      <c r="D7" s="573" t="s">
        <v>123</v>
      </c>
      <c r="E7" s="573"/>
      <c r="F7" s="575" t="s">
        <v>124</v>
      </c>
      <c r="G7" s="413"/>
      <c r="H7" s="579" t="s">
        <v>126</v>
      </c>
      <c r="I7" s="293"/>
      <c r="J7" s="571" t="s">
        <v>487</v>
      </c>
      <c r="K7" s="577">
        <v>15</v>
      </c>
      <c r="L7" s="581">
        <v>15</v>
      </c>
      <c r="M7" s="577">
        <v>15</v>
      </c>
      <c r="N7" s="581">
        <v>15</v>
      </c>
      <c r="O7" s="577">
        <v>15</v>
      </c>
      <c r="P7" s="581">
        <v>15</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750"/>
      <c r="B8" s="699"/>
      <c r="C8" s="214"/>
      <c r="D8" s="574" t="s">
        <v>127</v>
      </c>
      <c r="E8" s="574"/>
      <c r="F8" s="576" t="s">
        <v>268</v>
      </c>
      <c r="G8" s="215"/>
      <c r="H8" s="580" t="s">
        <v>126</v>
      </c>
      <c r="I8" s="36"/>
      <c r="J8" s="572" t="s">
        <v>128</v>
      </c>
      <c r="K8" s="578"/>
      <c r="L8" s="582"/>
      <c r="M8" s="578"/>
      <c r="N8" s="582"/>
      <c r="O8" s="578"/>
      <c r="P8" s="582"/>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415</v>
      </c>
      <c r="E9" s="293"/>
      <c r="F9" s="421"/>
      <c r="G9" s="293"/>
      <c r="H9" s="593" t="s">
        <v>416</v>
      </c>
      <c r="I9" s="594" t="s">
        <v>417</v>
      </c>
      <c r="J9" s="83" t="s">
        <v>418</v>
      </c>
      <c r="K9" s="595">
        <f>K5*(100-K6)/100</f>
        <v>0</v>
      </c>
      <c r="L9" s="596">
        <f>IF(K7=0,0,K9/K7*100)</f>
        <v>0</v>
      </c>
      <c r="M9" s="673">
        <f>M5*(100-M6)/100</f>
        <v>0</v>
      </c>
      <c r="N9" s="674">
        <f>IF(M7=0,0,M9/M7*100)</f>
        <v>0</v>
      </c>
      <c r="O9" s="595">
        <f>O5*(100-O6)/100</f>
        <v>0</v>
      </c>
      <c r="P9" s="596">
        <f>IF(O7=0,0,O9/O7*100)</f>
        <v>0</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t="s">
        <v>162</v>
      </c>
      <c r="E10" s="53"/>
      <c r="F10" s="219"/>
      <c r="G10" s="219"/>
      <c r="H10" s="36"/>
      <c r="I10" s="509"/>
      <c r="J10" s="300" t="s">
        <v>378</v>
      </c>
      <c r="K10" s="164"/>
      <c r="L10" s="597">
        <f>IF(K8=0,0,1/K8*L9)</f>
        <v>0</v>
      </c>
      <c r="M10" s="236"/>
      <c r="N10" s="675">
        <f>IF(M8=0,0,1/M8*N9)</f>
        <v>0</v>
      </c>
      <c r="O10" s="164"/>
      <c r="P10" s="597">
        <f>IF(O8=0,0,1/O8*P9)</f>
        <v>0</v>
      </c>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131</v>
      </c>
      <c r="E11" s="163"/>
      <c r="F11" s="163"/>
      <c r="G11" s="163"/>
      <c r="H11" s="589" t="s">
        <v>416</v>
      </c>
      <c r="I11" s="591" t="s">
        <v>417</v>
      </c>
      <c r="J11" s="299" t="s">
        <v>418</v>
      </c>
      <c r="K11" s="583">
        <f>K9*(100-L6)/100</f>
        <v>0</v>
      </c>
      <c r="L11" s="584">
        <f>IF(L7=0,0,K11/L7*100)</f>
        <v>0</v>
      </c>
      <c r="M11" s="676">
        <f>M9*(100-N6)/100</f>
        <v>0</v>
      </c>
      <c r="N11" s="677">
        <f>IF(N7=0,0,M11/N7*100)</f>
        <v>0</v>
      </c>
      <c r="O11" s="583">
        <f>O9*(100-P6)/100</f>
        <v>0</v>
      </c>
      <c r="P11" s="584">
        <f>IF(P7=0,0,O11/P7*100)</f>
        <v>0</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6.5</v>
      </c>
      <c r="L13" s="360"/>
      <c r="M13" s="419">
        <v>6.5</v>
      </c>
      <c r="N13" s="649"/>
      <c r="O13" s="419">
        <v>6.5</v>
      </c>
      <c r="P13" s="360"/>
      <c r="Q13" s="433" t="s">
        <v>691</v>
      </c>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10.833333333333334</v>
      </c>
      <c r="L14" s="360"/>
      <c r="M14" s="679">
        <f>M13/$G14</f>
        <v>10.833333333333334</v>
      </c>
      <c r="N14" s="649"/>
      <c r="O14" s="426">
        <f>O13/$G14</f>
        <v>10.833333333333334</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0</v>
      </c>
      <c r="L15" s="360"/>
      <c r="M15" s="680">
        <f>M$11*M13*10</f>
        <v>0</v>
      </c>
      <c r="N15" s="649"/>
      <c r="O15" s="417">
        <f>O$11*O13*10</f>
        <v>0</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0</v>
      </c>
      <c r="L16" s="359"/>
      <c r="M16" s="681">
        <f>M$11*M14*10</f>
        <v>0</v>
      </c>
      <c r="N16" s="370"/>
      <c r="O16" s="418">
        <f>O$11*O14*10</f>
        <v>0</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230</v>
      </c>
      <c r="M18" s="650"/>
      <c r="N18" s="1911">
        <f>SUM(N19:N23)</f>
        <v>230</v>
      </c>
      <c r="O18" s="268"/>
      <c r="P18" s="1910">
        <f>SUM(P19:P23)</f>
        <v>230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0</v>
      </c>
      <c r="M20" s="652"/>
      <c r="N20" s="672">
        <f>IF(U20=TRUE,$H20,0)</f>
        <v>0</v>
      </c>
      <c r="O20" s="269"/>
      <c r="P20" s="192">
        <f>IF(X20=TRUE,$H20,0)</f>
        <v>0</v>
      </c>
      <c r="Q20" s="436"/>
      <c r="R20" s="468" t="b">
        <v>0</v>
      </c>
      <c r="S20" s="436"/>
      <c r="T20" s="436"/>
      <c r="U20" s="468" t="b">
        <v>0</v>
      </c>
      <c r="V20" s="436"/>
      <c r="W20" s="436"/>
      <c r="X20" s="468" t="b">
        <v>0</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491</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0</v>
      </c>
      <c r="M27" s="669"/>
      <c r="N27" s="651">
        <f>SUM(N29:N30)</f>
        <v>0</v>
      </c>
      <c r="O27" s="272"/>
      <c r="P27" s="267">
        <f>SUM(P29:P30)</f>
        <v>0</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c r="Q28" s="2229" t="s">
        <v>691</v>
      </c>
    </row>
    <row r="29" spans="1:79" s="50" customFormat="1" ht="14.95" customHeight="1" x14ac:dyDescent="0.2">
      <c r="A29" s="51"/>
      <c r="B29" s="170"/>
      <c r="C29" s="103"/>
      <c r="D29" s="104" t="s">
        <v>426</v>
      </c>
      <c r="E29" s="104"/>
      <c r="F29" s="104"/>
      <c r="G29" s="104"/>
      <c r="H29" s="333">
        <v>37</v>
      </c>
      <c r="I29" s="586">
        <f>H29*($H$27+100)/100</f>
        <v>39.590000000000003</v>
      </c>
      <c r="J29" s="90"/>
      <c r="K29" s="382"/>
      <c r="L29" s="279">
        <f>$I29*K29</f>
        <v>0</v>
      </c>
      <c r="M29" s="382"/>
      <c r="N29" s="656">
        <f>$I29*M29</f>
        <v>0</v>
      </c>
      <c r="O29" s="382"/>
      <c r="P29" s="279">
        <f>$I29*O29</f>
        <v>0</v>
      </c>
      <c r="Q29" s="2228" t="s">
        <v>691</v>
      </c>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t="s">
        <v>455</v>
      </c>
      <c r="E30" s="106"/>
      <c r="F30" s="106"/>
      <c r="G30" s="106"/>
      <c r="H30" s="334"/>
      <c r="I30" s="587">
        <f>H30*($H$27+100)/100</f>
        <v>0</v>
      </c>
      <c r="J30" s="91"/>
      <c r="K30" s="383"/>
      <c r="L30" s="275">
        <f>$I30*K30</f>
        <v>0</v>
      </c>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0</v>
      </c>
      <c r="M31" s="683"/>
      <c r="N31" s="651">
        <f>SUM(N33:N36)-N17</f>
        <v>0</v>
      </c>
      <c r="O31" s="276"/>
      <c r="P31" s="267">
        <f>SUM(P33:P36)-P17</f>
        <v>0</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427</v>
      </c>
      <c r="H32" s="326" t="s">
        <v>146</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725"/>
      <c r="B33" s="700"/>
      <c r="C33" s="103"/>
      <c r="D33" s="104" t="s">
        <v>206</v>
      </c>
      <c r="E33" s="330">
        <f>IF(Preise!$S$23=TRUE,Preise!M14,0)</f>
        <v>3.57</v>
      </c>
      <c r="F33"/>
      <c r="G33" s="320">
        <v>1.4</v>
      </c>
      <c r="H33" s="327"/>
      <c r="I33"/>
      <c r="J33" s="163"/>
      <c r="K33" s="278">
        <f>G33*$K$9+H33</f>
        <v>0</v>
      </c>
      <c r="L33" s="279">
        <f>K33*$E33</f>
        <v>0</v>
      </c>
      <c r="M33" s="684">
        <f>G33*$M$9+H33</f>
        <v>0</v>
      </c>
      <c r="N33" s="656">
        <f>M33*$E33</f>
        <v>0</v>
      </c>
      <c r="O33" s="278">
        <f>G33*$O$9+H33</f>
        <v>0</v>
      </c>
      <c r="P33" s="279">
        <f>O33*$E33</f>
        <v>0</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0.6</v>
      </c>
      <c r="H34" s="327"/>
      <c r="I34"/>
      <c r="J34" s="163"/>
      <c r="K34" s="278">
        <f>G34*$K$9+H34</f>
        <v>0</v>
      </c>
      <c r="L34" s="279">
        <f>K34*$E34</f>
        <v>0</v>
      </c>
      <c r="M34" s="684">
        <f>G34*$M$9+H34</f>
        <v>0</v>
      </c>
      <c r="N34" s="656">
        <f>M34*$E34</f>
        <v>0</v>
      </c>
      <c r="O34" s="278">
        <f>G34*$O$9+H34</f>
        <v>0</v>
      </c>
      <c r="P34" s="279">
        <f>O34*$E34</f>
        <v>0</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1.2</v>
      </c>
      <c r="H35" s="327"/>
      <c r="I35"/>
      <c r="J35" s="163"/>
      <c r="K35" s="278">
        <f>G35*$K$9+H35</f>
        <v>0</v>
      </c>
      <c r="L35" s="279">
        <f>K35*$E35</f>
        <v>0</v>
      </c>
      <c r="M35" s="684">
        <f>G35*$M$9+H35</f>
        <v>0</v>
      </c>
      <c r="N35" s="656">
        <f>M35*$E35</f>
        <v>0</v>
      </c>
      <c r="O35" s="278">
        <f>G35*$O$9+H35</f>
        <v>0</v>
      </c>
      <c r="P35" s="279">
        <f>O35*$E35</f>
        <v>0</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0.15</v>
      </c>
      <c r="H36" s="328"/>
      <c r="I36" s="36"/>
      <c r="J36" s="36"/>
      <c r="K36" s="280">
        <f>G36*$K$9+H36</f>
        <v>0</v>
      </c>
      <c r="L36" s="275">
        <f>K36*$E36</f>
        <v>0</v>
      </c>
      <c r="M36" s="685">
        <f>G36*$M$9+H36</f>
        <v>0</v>
      </c>
      <c r="N36" s="657">
        <f>M36*$E36</f>
        <v>0</v>
      </c>
      <c r="O36" s="280">
        <f>G36*$O$9+H36</f>
        <v>0</v>
      </c>
      <c r="P36" s="275">
        <f>O36*$E36</f>
        <v>0</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45.517500000000005</v>
      </c>
      <c r="M37" s="658"/>
      <c r="N37" s="651">
        <f>SUM(N39:N41)</f>
        <v>91.035000000000011</v>
      </c>
      <c r="O37" s="281"/>
      <c r="P37" s="267">
        <f>SUM(P39:P41)</f>
        <v>101.15</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t="s">
        <v>458</v>
      </c>
      <c r="E39" s="124"/>
      <c r="F39" s="124"/>
      <c r="G39" s="124"/>
      <c r="H39" s="368">
        <v>85</v>
      </c>
      <c r="I39" s="368">
        <f>H39*($H$37+100)/100</f>
        <v>101.15</v>
      </c>
      <c r="J39" s="113"/>
      <c r="K39" s="156">
        <v>0.45</v>
      </c>
      <c r="L39" s="279">
        <f>$I39*K39</f>
        <v>45.517500000000005</v>
      </c>
      <c r="M39" s="156">
        <v>0.9</v>
      </c>
      <c r="N39" s="656">
        <f>$I39*M39</f>
        <v>91.035000000000011</v>
      </c>
      <c r="O39" s="156">
        <v>1</v>
      </c>
      <c r="P39" s="279">
        <f>$I39*O39</f>
        <v>101.15</v>
      </c>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f>H40*($H$37+100)/100</f>
        <v>0</v>
      </c>
      <c r="J40" s="113"/>
      <c r="K40" s="156"/>
      <c r="L40" s="279">
        <f>$I40*K40</f>
        <v>0</v>
      </c>
      <c r="M40" s="156"/>
      <c r="N40" s="656">
        <f>$I40*M40</f>
        <v>0</v>
      </c>
      <c r="O40" s="156"/>
      <c r="P40" s="279">
        <f>$I40*O40</f>
        <v>0</v>
      </c>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f>H41*($H$37+100)/100</f>
        <v>0</v>
      </c>
      <c r="J41" s="94"/>
      <c r="K41" s="157"/>
      <c r="L41" s="275">
        <f>$I41*K41</f>
        <v>0</v>
      </c>
      <c r="M41" s="157"/>
      <c r="N41" s="657">
        <f>$I41*M41</f>
        <v>0</v>
      </c>
      <c r="O41" s="157"/>
      <c r="P41" s="275">
        <f>$I41*O41</f>
        <v>0</v>
      </c>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#VALUE!</v>
      </c>
      <c r="M42" s="687"/>
      <c r="N42" s="651" t="e">
        <f>SUM(W45:W55)</f>
        <v>#VALUE!</v>
      </c>
      <c r="O42" s="367"/>
      <c r="P42" s="267" t="e">
        <f>SUM(Z45:Z55)</f>
        <v>#VALUE!</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110" t="s">
        <v>161</v>
      </c>
      <c r="J44" s="110" t="s">
        <v>154</v>
      </c>
      <c r="K44" s="314"/>
      <c r="L44" s="277" t="s">
        <v>154</v>
      </c>
      <c r="M44" s="689" t="s">
        <v>185</v>
      </c>
      <c r="N44" s="655" t="s">
        <v>154</v>
      </c>
      <c r="O44" s="314" t="s">
        <v>185</v>
      </c>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2</v>
      </c>
      <c r="C45" s="1174"/>
      <c r="D45" s="132"/>
      <c r="E45" s="8"/>
      <c r="F45" s="8"/>
      <c r="G45" s="607"/>
      <c r="H45" s="602">
        <f>IF($B45=0,0,VLOOKUP($B45,Arbeitsgänge!$B$27:$T$79,7))</f>
        <v>0</v>
      </c>
      <c r="I45" s="603">
        <f>IF($B45=0,0,VLOOKUP($B45,Arbeitsgänge!$B$27:$T$79,12))</f>
        <v>26.338674124000004</v>
      </c>
      <c r="J45" s="401" t="str">
        <f>IF($B45=0,0,VLOOKUP($B45,Arbeitsgänge!$B$27:$T$79,14))</f>
        <v>KTBL (2016/17): S. 91+170</v>
      </c>
      <c r="K45" s="315">
        <v>1</v>
      </c>
      <c r="L45" s="279" t="e">
        <f t="shared" ref="L45:L55" si="0">K45*$J45</f>
        <v>#VALUE!</v>
      </c>
      <c r="M45" s="315">
        <v>1</v>
      </c>
      <c r="N45" s="656" t="e">
        <f t="shared" ref="N45:N55" si="1">M45*$J45</f>
        <v>#VALUE!</v>
      </c>
      <c r="O45" s="315">
        <v>1</v>
      </c>
      <c r="P45" s="279" t="e">
        <f t="shared" ref="P45:P55" si="2">O45*$J45</f>
        <v>#VALUE!</v>
      </c>
      <c r="Q45" s="436"/>
      <c r="R45" s="1060">
        <f t="shared" ref="R45:R55" si="3">$I45*K45</f>
        <v>26.338674124000004</v>
      </c>
      <c r="S45" s="443" t="e">
        <f>K45*#REF!</f>
        <v>#REF!</v>
      </c>
      <c r="T45" s="225" t="e">
        <f t="shared" ref="T45:T55" si="4">K45*$J45</f>
        <v>#VALUE!</v>
      </c>
      <c r="U45" s="1061">
        <f t="shared" ref="U45:U55" si="5">$I45*M45</f>
        <v>26.338674124000004</v>
      </c>
      <c r="V45" s="1062" t="e">
        <f>M45*#REF!</f>
        <v>#REF!</v>
      </c>
      <c r="W45" s="691" t="e">
        <f t="shared" ref="W45:W55" si="6">M45*$J45</f>
        <v>#VALUE!</v>
      </c>
      <c r="X45" s="1063">
        <f t="shared" ref="X45:X55" si="7">$I45*O45</f>
        <v>26.338674124000004</v>
      </c>
      <c r="Y45" s="443" t="e">
        <f>O45*#REF!</f>
        <v>#REF!</v>
      </c>
      <c r="Z45" s="225" t="e">
        <f t="shared" ref="Z45:Z55" si="8">O45*$J45</f>
        <v>#VALUE!</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1</v>
      </c>
      <c r="C46" s="1174"/>
      <c r="D46" s="132"/>
      <c r="E46" s="8"/>
      <c r="F46" s="8"/>
      <c r="G46" s="607"/>
      <c r="H46" s="602" t="e">
        <f>IF($B46=0,0,VLOOKUP($B46,Arbeitsgänge!$B$27:$T$79,7))</f>
        <v>#N/A</v>
      </c>
      <c r="I46" s="603" t="e">
        <f>IF($B46=0,0,VLOOKUP($B46,Arbeitsgänge!$B$27:$T$79,12))</f>
        <v>#N/A</v>
      </c>
      <c r="J46" s="401" t="e">
        <f>IF($B46=0,0,VLOOKUP($B46,Arbeitsgänge!$B$27:$T$79,14))</f>
        <v>#N/A</v>
      </c>
      <c r="K46" s="316">
        <v>1</v>
      </c>
      <c r="L46" s="279" t="e">
        <f t="shared" si="0"/>
        <v>#N/A</v>
      </c>
      <c r="M46" s="316">
        <v>1</v>
      </c>
      <c r="N46" s="656" t="e">
        <f t="shared" si="1"/>
        <v>#N/A</v>
      </c>
      <c r="O46" s="316">
        <v>1</v>
      </c>
      <c r="P46" s="279" t="e">
        <f t="shared" si="2"/>
        <v>#N/A</v>
      </c>
      <c r="Q46" s="436"/>
      <c r="R46" s="1064" t="e">
        <f t="shared" si="3"/>
        <v>#N/A</v>
      </c>
      <c r="S46" s="402" t="e">
        <f>K46*#REF!</f>
        <v>#REF!</v>
      </c>
      <c r="T46" s="225" t="e">
        <f t="shared" si="4"/>
        <v>#N/A</v>
      </c>
      <c r="U46" s="1065" t="e">
        <f t="shared" si="5"/>
        <v>#N/A</v>
      </c>
      <c r="V46" s="1066" t="e">
        <f>M46*#REF!</f>
        <v>#REF!</v>
      </c>
      <c r="W46" s="691" t="e">
        <f t="shared" si="6"/>
        <v>#N/A</v>
      </c>
      <c r="X46" s="1067" t="e">
        <f t="shared" si="7"/>
        <v>#N/A</v>
      </c>
      <c r="Y46" s="402" t="e">
        <f>O46*#REF!</f>
        <v>#REF!</v>
      </c>
      <c r="Z46" s="225" t="e">
        <f t="shared" si="8"/>
        <v>#N/A</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7</v>
      </c>
      <c r="C47" s="1174"/>
      <c r="D47" s="132"/>
      <c r="E47" s="8"/>
      <c r="F47" s="8"/>
      <c r="G47" s="607"/>
      <c r="H47" s="602" t="str">
        <f>IF($B47=0,0,VLOOKUP($B47,Arbeitsgänge!$B$27:$T$79,7))</f>
        <v>x</v>
      </c>
      <c r="I47" s="603">
        <f>IF($B47=0,0,VLOOKUP($B47,Arbeitsgänge!$B$27:$T$79,12))</f>
        <v>8.8260781587999997</v>
      </c>
      <c r="J47" s="401" t="str">
        <f>IF($B47=0,0,VLOOKUP($B47,Arbeitsgänge!$B$27:$T$79,14))</f>
        <v>KTBL (2016/17): S. 96+172</v>
      </c>
      <c r="K47" s="316">
        <v>1</v>
      </c>
      <c r="L47" s="279" t="e">
        <f t="shared" si="0"/>
        <v>#VALUE!</v>
      </c>
      <c r="M47" s="316">
        <v>1</v>
      </c>
      <c r="N47" s="656" t="e">
        <f t="shared" si="1"/>
        <v>#VALUE!</v>
      </c>
      <c r="O47" s="316">
        <v>1</v>
      </c>
      <c r="P47" s="279" t="e">
        <f t="shared" si="2"/>
        <v>#VALUE!</v>
      </c>
      <c r="Q47" s="436"/>
      <c r="R47" s="1064">
        <f t="shared" si="3"/>
        <v>8.8260781587999997</v>
      </c>
      <c r="S47" s="402" t="e">
        <f>K47*#REF!</f>
        <v>#REF!</v>
      </c>
      <c r="T47" s="225" t="e">
        <f t="shared" si="4"/>
        <v>#VALUE!</v>
      </c>
      <c r="U47" s="1065">
        <f t="shared" si="5"/>
        <v>8.8260781587999997</v>
      </c>
      <c r="V47" s="1066" t="e">
        <f>M47*#REF!</f>
        <v>#REF!</v>
      </c>
      <c r="W47" s="691" t="e">
        <f t="shared" si="6"/>
        <v>#VALUE!</v>
      </c>
      <c r="X47" s="1067">
        <f t="shared" si="7"/>
        <v>8.8260781587999997</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15</v>
      </c>
      <c r="C48" s="1174"/>
      <c r="D48" s="132"/>
      <c r="E48" s="8"/>
      <c r="F48" s="8"/>
      <c r="G48" s="607"/>
      <c r="H48" s="602" t="str">
        <f>IF($B48=0,0,VLOOKUP($B48,Arbeitsgänge!$B$27:$T$79,7))</f>
        <v>x</v>
      </c>
      <c r="I48" s="603">
        <f>IF($B48=0,0,VLOOKUP($B48,Arbeitsgänge!$B$27:$T$79,12))</f>
        <v>14.9882142228</v>
      </c>
      <c r="J48" s="401" t="str">
        <f>IF($B48=0,0,VLOOKUP($B48,Arbeitsgänge!$B$27:$T$79,14))</f>
        <v>KTBL ÖKO (2017):S.112+208</v>
      </c>
      <c r="K48" s="316">
        <v>3</v>
      </c>
      <c r="L48" s="279" t="e">
        <f t="shared" si="0"/>
        <v>#VALUE!</v>
      </c>
      <c r="M48" s="316">
        <v>3</v>
      </c>
      <c r="N48" s="656" t="e">
        <f t="shared" si="1"/>
        <v>#VALUE!</v>
      </c>
      <c r="O48" s="316">
        <v>3</v>
      </c>
      <c r="P48" s="279" t="e">
        <f t="shared" si="2"/>
        <v>#VALUE!</v>
      </c>
      <c r="Q48" s="436"/>
      <c r="R48" s="1064">
        <f t="shared" si="3"/>
        <v>44.964642668400003</v>
      </c>
      <c r="S48" s="402" t="e">
        <f>K48*#REF!</f>
        <v>#REF!</v>
      </c>
      <c r="T48" s="225" t="e">
        <f t="shared" si="4"/>
        <v>#VALUE!</v>
      </c>
      <c r="U48" s="1065">
        <f t="shared" si="5"/>
        <v>44.964642668400003</v>
      </c>
      <c r="V48" s="1066" t="e">
        <f>M48*#REF!</f>
        <v>#REF!</v>
      </c>
      <c r="W48" s="691" t="e">
        <f t="shared" si="6"/>
        <v>#VALUE!</v>
      </c>
      <c r="X48" s="1067">
        <f t="shared" si="7"/>
        <v>44.964642668400003</v>
      </c>
      <c r="Y48" s="402" t="e">
        <f>O48*#REF!</f>
        <v>#REF!</v>
      </c>
      <c r="Z48" s="225" t="e">
        <f t="shared" si="8"/>
        <v>#VALUE!</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16</v>
      </c>
      <c r="C49" s="1174"/>
      <c r="D49" s="132"/>
      <c r="E49" s="8"/>
      <c r="F49" s="8"/>
      <c r="G49" s="607"/>
      <c r="H49" s="602" t="str">
        <f>IF($B49=0,0,VLOOKUP($B49,Arbeitsgänge!$B$27:$T$79,7))</f>
        <v>x</v>
      </c>
      <c r="I49" s="603">
        <f>IF($B49=0,0,VLOOKUP($B49,Arbeitsgänge!$B$27:$T$79,12))</f>
        <v>1.7215019219999996</v>
      </c>
      <c r="J49" s="401" t="str">
        <f>IF($B49=0,0,VLOOKUP($B49,Arbeitsgänge!$B$27:$T$79,14))</f>
        <v>nach KTBL (2016/17): S. 109+190</v>
      </c>
      <c r="K49" s="316">
        <v>1</v>
      </c>
      <c r="L49" s="279" t="e">
        <f t="shared" si="0"/>
        <v>#VALUE!</v>
      </c>
      <c r="M49" s="316">
        <v>1</v>
      </c>
      <c r="N49" s="656" t="e">
        <f t="shared" si="1"/>
        <v>#VALUE!</v>
      </c>
      <c r="O49" s="316">
        <v>1</v>
      </c>
      <c r="P49" s="279" t="e">
        <f t="shared" si="2"/>
        <v>#VALUE!</v>
      </c>
      <c r="Q49" s="436"/>
      <c r="R49" s="1064">
        <f t="shared" si="3"/>
        <v>1.7215019219999996</v>
      </c>
      <c r="S49" s="402" t="e">
        <f>K49*#REF!</f>
        <v>#REF!</v>
      </c>
      <c r="T49" s="225" t="e">
        <f t="shared" si="4"/>
        <v>#VALUE!</v>
      </c>
      <c r="U49" s="1065">
        <f t="shared" si="5"/>
        <v>1.7215019219999996</v>
      </c>
      <c r="V49" s="1066" t="e">
        <f>M49*#REF!</f>
        <v>#REF!</v>
      </c>
      <c r="W49" s="691" t="e">
        <f t="shared" si="6"/>
        <v>#VALUE!</v>
      </c>
      <c r="X49" s="1067">
        <f t="shared" si="7"/>
        <v>1.7215019219999996</v>
      </c>
      <c r="Y49" s="402" t="e">
        <f>O49*#REF!</f>
        <v>#REF!</v>
      </c>
      <c r="Z49" s="225" t="e">
        <f t="shared" si="8"/>
        <v>#VALUE!</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22</v>
      </c>
      <c r="C50" s="1174"/>
      <c r="D50" s="132"/>
      <c r="E50" s="8"/>
      <c r="F50" s="8"/>
      <c r="G50" s="607"/>
      <c r="H50" s="602">
        <f>IF($B50=0,0,VLOOKUP($B50,Arbeitsgänge!$B$27:$T$79,7))</f>
        <v>0</v>
      </c>
      <c r="I50" s="603">
        <f>IF($B50=0,0,VLOOKUP($B50,Arbeitsgänge!$B$27:$T$79,12))</f>
        <v>0</v>
      </c>
      <c r="J50" s="401" t="str">
        <f>IF($B50=0,0,VLOOKUP($B50,Arbeitsgänge!$B$27:$T$79,14))</f>
        <v>2016 reduziert nach KTBL Faustzahlen s:279 0,30 Akh/ha für Weidezaun auf/abbauen + Tränkefass füllen--Auftrieb und Abtrieb werden den Tieren zugeordnet !!!</v>
      </c>
      <c r="K50" s="316">
        <v>0.42</v>
      </c>
      <c r="L50" s="279" t="e">
        <f t="shared" si="0"/>
        <v>#VALUE!</v>
      </c>
      <c r="M50" s="316">
        <v>0.5</v>
      </c>
      <c r="N50" s="656" t="e">
        <f t="shared" si="1"/>
        <v>#VALUE!</v>
      </c>
      <c r="O50" s="316">
        <v>0.56999999999999995</v>
      </c>
      <c r="P50" s="279" t="e">
        <f t="shared" si="2"/>
        <v>#VALUE!</v>
      </c>
      <c r="Q50" s="436"/>
      <c r="R50" s="1064">
        <f t="shared" si="3"/>
        <v>0</v>
      </c>
      <c r="S50" s="402" t="e">
        <f>K50*#REF!</f>
        <v>#REF!</v>
      </c>
      <c r="T50" s="225" t="e">
        <f t="shared" si="4"/>
        <v>#VALUE!</v>
      </c>
      <c r="U50" s="1065">
        <f t="shared" si="5"/>
        <v>0</v>
      </c>
      <c r="V50" s="1066" t="e">
        <f>M50*#REF!</f>
        <v>#REF!</v>
      </c>
      <c r="W50" s="691" t="e">
        <f t="shared" si="6"/>
        <v>#VALUE!</v>
      </c>
      <c r="X50" s="1067">
        <f t="shared" si="7"/>
        <v>0</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23</v>
      </c>
      <c r="C51" s="1174"/>
      <c r="D51" s="132"/>
      <c r="E51" s="8"/>
      <c r="F51" s="8"/>
      <c r="G51" s="607"/>
      <c r="H51" s="602">
        <f>IF($B51=0,0,VLOOKUP($B51,Arbeitsgänge!$B$27:$T$79,7))</f>
        <v>0</v>
      </c>
      <c r="I51" s="603">
        <f>IF($B51=0,0,VLOOKUP($B51,Arbeitsgänge!$B$27:$T$79,12))</f>
        <v>0</v>
      </c>
      <c r="J51" s="401" t="str">
        <f>IF($B51=0,0,VLOOKUP($B51,Arbeitsgänge!$B$27:$T$79,14))</f>
        <v>2016 reduziert nach KTBL Faustzahlen s:279 0,30 Akh/ha für Weidezaun auf/abbauen + Tränkefass füllen--Auftrieb und Abtrieb werden den Tieren zugeordnet !!!</v>
      </c>
      <c r="K51" s="316">
        <v>0.42</v>
      </c>
      <c r="L51" s="279" t="e">
        <f t="shared" si="0"/>
        <v>#VALUE!</v>
      </c>
      <c r="M51" s="316">
        <v>0.5</v>
      </c>
      <c r="N51" s="656" t="e">
        <f t="shared" si="1"/>
        <v>#VALUE!</v>
      </c>
      <c r="O51" s="316">
        <v>0.56999999999999995</v>
      </c>
      <c r="P51" s="279" t="e">
        <f t="shared" si="2"/>
        <v>#VALUE!</v>
      </c>
      <c r="Q51" s="436"/>
      <c r="R51" s="1064">
        <f t="shared" si="3"/>
        <v>0</v>
      </c>
      <c r="S51" s="402" t="e">
        <f>K51*#REF!</f>
        <v>#REF!</v>
      </c>
      <c r="T51" s="225" t="e">
        <f t="shared" si="4"/>
        <v>#VALUE!</v>
      </c>
      <c r="U51" s="1065">
        <f t="shared" si="5"/>
        <v>0</v>
      </c>
      <c r="V51" s="1066" t="e">
        <f>M51*#REF!</f>
        <v>#REF!</v>
      </c>
      <c r="W51" s="691" t="e">
        <f t="shared" si="6"/>
        <v>#VALUE!</v>
      </c>
      <c r="X51" s="1067">
        <f t="shared" si="7"/>
        <v>0</v>
      </c>
      <c r="Y51" s="402" t="e">
        <f>O51*#REF!</f>
        <v>#REF!</v>
      </c>
      <c r="Z51" s="225" t="e">
        <f t="shared" si="8"/>
        <v>#VALUE!</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0</v>
      </c>
      <c r="C52" s="1174"/>
      <c r="D52" s="132"/>
      <c r="E52" s="8"/>
      <c r="F52" s="8"/>
      <c r="G52" s="607"/>
      <c r="H52" s="602">
        <f>IF($B52=0,0,VLOOKUP($B52,Arbeitsgänge!$B$27:$T$79,7))</f>
        <v>0</v>
      </c>
      <c r="I52" s="603">
        <f>IF($B52=0,0,VLOOKUP($B52,Arbeitsgänge!$B$27:$T$79,12))</f>
        <v>0</v>
      </c>
      <c r="J52" s="401">
        <f>IF($B52=0,0,VLOOKUP($B52,Arbeitsgänge!$B$27:$T$79,14))</f>
        <v>0</v>
      </c>
      <c r="K52" s="316"/>
      <c r="L52" s="279">
        <f t="shared" si="0"/>
        <v>0</v>
      </c>
      <c r="M52" s="316"/>
      <c r="N52" s="656">
        <f t="shared" si="1"/>
        <v>0</v>
      </c>
      <c r="O52" s="316"/>
      <c r="P52" s="279">
        <f t="shared" si="2"/>
        <v>0</v>
      </c>
      <c r="Q52" s="436"/>
      <c r="R52" s="1064">
        <f t="shared" si="3"/>
        <v>0</v>
      </c>
      <c r="S52" s="402" t="e">
        <f>K52*#REF!</f>
        <v>#REF!</v>
      </c>
      <c r="T52" s="225">
        <f t="shared" si="4"/>
        <v>0</v>
      </c>
      <c r="U52" s="1065">
        <f t="shared" si="5"/>
        <v>0</v>
      </c>
      <c r="V52" s="1066" t="e">
        <f>M52*#REF!</f>
        <v>#REF!</v>
      </c>
      <c r="W52" s="691">
        <f t="shared" si="6"/>
        <v>0</v>
      </c>
      <c r="X52" s="1067">
        <f t="shared" si="7"/>
        <v>0</v>
      </c>
      <c r="Y52" s="402" t="e">
        <f>O52*#REF!</f>
        <v>#REF!</v>
      </c>
      <c r="Z52" s="225">
        <f t="shared" si="8"/>
        <v>0</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c r="C53" s="1174"/>
      <c r="D53" s="132">
        <f>IF($B53=0,0,VLOOKUP($B53,Arbeitsgänge!$B$27:$O$74,2))</f>
        <v>0</v>
      </c>
      <c r="E53" s="8"/>
      <c r="F53" s="8"/>
      <c r="G53" s="607"/>
      <c r="H53" s="602">
        <f>IF($B53=0,0,VLOOKUP($B53,Arbeitsgänge!$B$27:$T$79,7))</f>
        <v>0</v>
      </c>
      <c r="I53" s="603">
        <f>IF($B53=0,0,VLOOKUP($B53,Arbeitsgänge!$B$27:$T$79,12))</f>
        <v>0</v>
      </c>
      <c r="J53" s="401">
        <f>IF($B53=0,0,VLOOKUP($B53,Arbeitsgänge!$B$27:$T$79,14))</f>
        <v>0</v>
      </c>
      <c r="K53" s="316"/>
      <c r="L53" s="279">
        <f t="shared" si="0"/>
        <v>0</v>
      </c>
      <c r="M53" s="316"/>
      <c r="N53" s="656">
        <f t="shared" si="1"/>
        <v>0</v>
      </c>
      <c r="O53" s="316"/>
      <c r="P53" s="279">
        <f t="shared" si="2"/>
        <v>0</v>
      </c>
      <c r="Q53" s="436"/>
      <c r="R53" s="1064">
        <f t="shared" si="3"/>
        <v>0</v>
      </c>
      <c r="S53" s="402" t="e">
        <f>K53*#REF!</f>
        <v>#REF!</v>
      </c>
      <c r="T53" s="225">
        <f t="shared" si="4"/>
        <v>0</v>
      </c>
      <c r="U53" s="1065">
        <f t="shared" si="5"/>
        <v>0</v>
      </c>
      <c r="V53" s="1066" t="e">
        <f>M53*#REF!</f>
        <v>#REF!</v>
      </c>
      <c r="W53" s="691">
        <f t="shared" si="6"/>
        <v>0</v>
      </c>
      <c r="X53" s="1067">
        <f t="shared" si="7"/>
        <v>0</v>
      </c>
      <c r="Y53" s="402" t="e">
        <f>O53*#REF!</f>
        <v>#REF!</v>
      </c>
      <c r="Z53" s="225">
        <f t="shared" si="8"/>
        <v>0</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c r="C54" s="1174"/>
      <c r="D54" s="132">
        <f>IF($B54=0,0,VLOOKUP($B54,Arbeitsgänge!$B$27:$O$74,2))</f>
        <v>0</v>
      </c>
      <c r="E54" s="8"/>
      <c r="F54" s="8"/>
      <c r="G54" s="607"/>
      <c r="H54" s="602">
        <f>IF($B54=0,0,VLOOKUP($B54,Arbeitsgänge!$B$27:$T$79,7))</f>
        <v>0</v>
      </c>
      <c r="I54" s="603">
        <f>IF($B54=0,0,VLOOKUP($B54,Arbeitsgänge!$B$27:$T$79,12))</f>
        <v>0</v>
      </c>
      <c r="J54" s="401">
        <f>IF($B54=0,0,VLOOKUP($B54,Arbeitsgänge!$B$27:$T$79,14))</f>
        <v>0</v>
      </c>
      <c r="K54" s="316"/>
      <c r="L54" s="279">
        <f t="shared" si="0"/>
        <v>0</v>
      </c>
      <c r="M54" s="318"/>
      <c r="N54" s="656">
        <f t="shared" si="1"/>
        <v>0</v>
      </c>
      <c r="O54" s="318"/>
      <c r="P54" s="279">
        <f t="shared" si="2"/>
        <v>0</v>
      </c>
      <c r="Q54" s="436"/>
      <c r="R54" s="1064">
        <f t="shared" si="3"/>
        <v>0</v>
      </c>
      <c r="S54" s="402" t="e">
        <f>K54*#REF!</f>
        <v>#REF!</v>
      </c>
      <c r="T54" s="225">
        <f t="shared" si="4"/>
        <v>0</v>
      </c>
      <c r="U54" s="1065">
        <f t="shared" si="5"/>
        <v>0</v>
      </c>
      <c r="V54" s="1066" t="e">
        <f>M54*#REF!</f>
        <v>#REF!</v>
      </c>
      <c r="W54" s="691">
        <f t="shared" si="6"/>
        <v>0</v>
      </c>
      <c r="X54" s="1067">
        <f t="shared" si="7"/>
        <v>0</v>
      </c>
      <c r="Y54" s="402" t="e">
        <f>O54*#REF!</f>
        <v>#REF!</v>
      </c>
      <c r="Z54" s="225">
        <f t="shared" si="8"/>
        <v>0</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c r="C55" s="1174"/>
      <c r="D55" s="133">
        <f>IF($B55=0,0,VLOOKUP($B55,Arbeitsgänge!$B$27:$O$74,2))</f>
        <v>0</v>
      </c>
      <c r="E55" s="84"/>
      <c r="F55" s="84"/>
      <c r="G55" s="608"/>
      <c r="H55" s="1432">
        <f>IF($B55=0,0,VLOOKUP($B55,Arbeitsgänge!$B$27:$T$79,7))</f>
        <v>0</v>
      </c>
      <c r="I55" s="604">
        <f>IF($B55=0,0,VLOOKUP($B55,Arbeitsgänge!$B$27:$T$79,12))</f>
        <v>0</v>
      </c>
      <c r="J55" s="1430">
        <f>IF($B55=0,0,VLOOKUP($B55,Arbeitsgänge!$B$27:$T$79,14))</f>
        <v>0</v>
      </c>
      <c r="K55" s="317"/>
      <c r="L55" s="313">
        <f t="shared" si="0"/>
        <v>0</v>
      </c>
      <c r="M55" s="319"/>
      <c r="N55" s="661">
        <f t="shared" si="1"/>
        <v>0</v>
      </c>
      <c r="O55" s="319"/>
      <c r="P55" s="313">
        <f t="shared" si="2"/>
        <v>0</v>
      </c>
      <c r="Q55" s="436"/>
      <c r="R55" s="1068">
        <f t="shared" si="3"/>
        <v>0</v>
      </c>
      <c r="S55" s="403" t="e">
        <f>K55*#REF!</f>
        <v>#REF!</v>
      </c>
      <c r="T55" s="444">
        <f t="shared" si="4"/>
        <v>0</v>
      </c>
      <c r="U55" s="1069">
        <f t="shared" si="5"/>
        <v>0</v>
      </c>
      <c r="V55" s="1070" t="e">
        <f>M55*#REF!</f>
        <v>#REF!</v>
      </c>
      <c r="W55" s="1071">
        <f t="shared" si="6"/>
        <v>0</v>
      </c>
      <c r="X55" s="1072">
        <f t="shared" si="7"/>
        <v>0</v>
      </c>
      <c r="Y55" s="403" t="e">
        <f>O55*#REF!</f>
        <v>#REF!</v>
      </c>
      <c r="Z55" s="444">
        <f t="shared" si="8"/>
        <v>0</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80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166.005</v>
      </c>
      <c r="M58" s="690"/>
      <c r="N58" s="651">
        <f>SUM(N60:N62)</f>
        <v>184.45</v>
      </c>
      <c r="O58" s="286"/>
      <c r="P58" s="267">
        <f>SUM(P60:P62)</f>
        <v>202.89500000000001</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t="s">
        <v>456</v>
      </c>
      <c r="E60" s="58"/>
      <c r="F60" s="58"/>
      <c r="G60" s="58"/>
      <c r="H60" s="2036">
        <v>155</v>
      </c>
      <c r="I60" s="2037">
        <f>H60*($H$58+100)/100</f>
        <v>184.45</v>
      </c>
      <c r="J60" s="341"/>
      <c r="K60" s="2038">
        <v>0.9</v>
      </c>
      <c r="L60" s="2039">
        <f>K60*I60</f>
        <v>166.005</v>
      </c>
      <c r="M60" s="2038">
        <v>1</v>
      </c>
      <c r="N60" s="2040">
        <f>M60*I60</f>
        <v>184.45</v>
      </c>
      <c r="O60" s="2038">
        <v>1.1000000000000001</v>
      </c>
      <c r="P60" s="2039">
        <f>O60*I60</f>
        <v>202.89500000000001</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51"/>
      <c r="X62" s="436" t="s">
        <v>540</v>
      </c>
      <c r="Y62" s="1920"/>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0.15</v>
      </c>
      <c r="W63" s="78"/>
      <c r="X63" s="78" t="s">
        <v>206</v>
      </c>
      <c r="Y63" s="1923"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78"/>
      <c r="X64" s="1954">
        <v>2.2400000000000002</v>
      </c>
      <c r="Y64" s="2093">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1921"/>
      <c r="X65" s="2088" t="s">
        <v>309</v>
      </c>
      <c r="Y65" s="1922"/>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v>1.1000000000000001</v>
      </c>
      <c r="I66" s="74"/>
      <c r="J66" s="303" t="s">
        <v>154</v>
      </c>
      <c r="K66" s="322">
        <f>K15*0.2</f>
        <v>0</v>
      </c>
      <c r="L66" s="290"/>
      <c r="M66" s="322">
        <f>M15*0.2</f>
        <v>0</v>
      </c>
      <c r="N66" s="654"/>
      <c r="O66" s="322">
        <f>O15*0.2</f>
        <v>0</v>
      </c>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t="e">
        <f>SUM(L68:L69)</f>
        <v>#N/A</v>
      </c>
      <c r="M67" s="694"/>
      <c r="N67" s="651" t="e">
        <f>SUM(N68:N69)</f>
        <v>#N/A</v>
      </c>
      <c r="O67" s="272"/>
      <c r="P67" s="267" t="e">
        <f>SUM(P68:P69)</f>
        <v>#N/A</v>
      </c>
      <c r="Q67" s="958"/>
    </row>
    <row r="68" spans="1:79" s="50" customFormat="1" ht="14.95" customHeight="1" x14ac:dyDescent="0.2">
      <c r="A68" s="185" t="s">
        <v>282</v>
      </c>
      <c r="B68" s="759">
        <v>4</v>
      </c>
      <c r="C68" s="103"/>
      <c r="D68" s="132" t="e">
        <f>IF($B68=0,0,VLOOKUP($B68,Preise!$B$43:'Preise'!$M$48,2))</f>
        <v>#N/A</v>
      </c>
      <c r="E68" s="8"/>
      <c r="F68" s="104"/>
      <c r="G68" s="104"/>
      <c r="H68" s="1102"/>
      <c r="I68" s="1099" t="e">
        <f>IF($B68=0,0,VLOOKUP($B68,Preise!$B$43:$M$48,12))</f>
        <v>#N/A</v>
      </c>
      <c r="J68" s="141"/>
      <c r="K68" s="969"/>
      <c r="L68" s="588" t="e">
        <f>$I$68</f>
        <v>#N/A</v>
      </c>
      <c r="M68" s="969"/>
      <c r="N68" s="695" t="e">
        <f>$I$68</f>
        <v>#N/A</v>
      </c>
      <c r="O68" s="969"/>
      <c r="P68" s="588" t="e">
        <f>$I$68</f>
        <v>#N/A</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761"/>
      <c r="E69" s="8"/>
      <c r="F69" s="148"/>
      <c r="G69" s="148"/>
      <c r="H69" s="1100"/>
      <c r="I69" s="636">
        <f>H69*(100+Preise!$M$11)/100</f>
        <v>0</v>
      </c>
      <c r="J69" s="141"/>
      <c r="K69" s="640"/>
      <c r="L69" s="760"/>
      <c r="M69" s="641"/>
      <c r="N69" s="760"/>
      <c r="O69" s="641"/>
      <c r="P69" s="760"/>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18"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useFirstPageNumber="1" horizontalDpi="300" verticalDpi="300" r:id="rId1"/>
      <headerFooter alignWithMargins="0">
        <oddFooter>&amp;L&amp;12LEL Schwäbisch Gmünd (Abtlg. II)
LAZBW Aulendorf&amp;C&amp;12 66&amp;9
&amp;R&amp;12&amp;F
&amp;A</oddFooter>
      </headerFooter>
    </customSheetView>
  </customSheetViews>
  <mergeCells count="3">
    <mergeCell ref="B1:F1"/>
    <mergeCell ref="M2:P2"/>
    <mergeCell ref="H3:P3"/>
  </mergeCells>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useFirstPageNumber="1" horizontalDpi="300" verticalDpi="300" r:id="rId2"/>
  <headerFooter alignWithMargins="0">
    <oddFooter>&amp;L&amp;12LEL Schwäbisch Gmünd (Abtlg. II)
LAZBW Aulendorf&amp;C&amp;12 66&amp;9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36993"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1236994"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1236995"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1236996"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1236997"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1236998"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1236999"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1237000"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1237001"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1237002"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1237003"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1237004"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1237005"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1237006"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1237007"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1237008" r:id="rId20" name="Drop Down 16">
              <controlPr defaultSize="0" autoLine="0" autoPict="0">
                <anchor moveWithCells="1">
                  <from>
                    <xdr:col>3</xdr:col>
                    <xdr:colOff>0</xdr:colOff>
                    <xdr:row>44</xdr:row>
                    <xdr:rowOff>0</xdr:rowOff>
                  </from>
                  <to>
                    <xdr:col>7</xdr:col>
                    <xdr:colOff>69011</xdr:colOff>
                    <xdr:row>45</xdr:row>
                    <xdr:rowOff>8626</xdr:rowOff>
                  </to>
                </anchor>
              </controlPr>
            </control>
          </mc:Choice>
        </mc:AlternateContent>
        <mc:AlternateContent xmlns:mc="http://schemas.openxmlformats.org/markup-compatibility/2006">
          <mc:Choice Requires="x14">
            <control shapeId="1237009" r:id="rId21" name="Drop Down 17">
              <controlPr defaultSize="0" autoLine="0" autoPict="0">
                <anchor moveWithCells="1">
                  <from>
                    <xdr:col>3</xdr:col>
                    <xdr:colOff>0</xdr:colOff>
                    <xdr:row>45</xdr:row>
                    <xdr:rowOff>0</xdr:rowOff>
                  </from>
                  <to>
                    <xdr:col>7</xdr:col>
                    <xdr:colOff>69011</xdr:colOff>
                    <xdr:row>46</xdr:row>
                    <xdr:rowOff>8626</xdr:rowOff>
                  </to>
                </anchor>
              </controlPr>
            </control>
          </mc:Choice>
        </mc:AlternateContent>
        <mc:AlternateContent xmlns:mc="http://schemas.openxmlformats.org/markup-compatibility/2006">
          <mc:Choice Requires="x14">
            <control shapeId="1237010" r:id="rId22" name="Drop Down 18">
              <controlPr defaultSize="0" autoLine="0" autoPict="0">
                <anchor moveWithCells="1">
                  <from>
                    <xdr:col>3</xdr:col>
                    <xdr:colOff>0</xdr:colOff>
                    <xdr:row>46</xdr:row>
                    <xdr:rowOff>0</xdr:rowOff>
                  </from>
                  <to>
                    <xdr:col>7</xdr:col>
                    <xdr:colOff>69011</xdr:colOff>
                    <xdr:row>47</xdr:row>
                    <xdr:rowOff>8626</xdr:rowOff>
                  </to>
                </anchor>
              </controlPr>
            </control>
          </mc:Choice>
        </mc:AlternateContent>
        <mc:AlternateContent xmlns:mc="http://schemas.openxmlformats.org/markup-compatibility/2006">
          <mc:Choice Requires="x14">
            <control shapeId="1237011" r:id="rId23" name="Drop Down 19">
              <controlPr defaultSize="0" autoLine="0" autoPict="0">
                <anchor moveWithCells="1">
                  <from>
                    <xdr:col>3</xdr:col>
                    <xdr:colOff>0</xdr:colOff>
                    <xdr:row>47</xdr:row>
                    <xdr:rowOff>0</xdr:rowOff>
                  </from>
                  <to>
                    <xdr:col>7</xdr:col>
                    <xdr:colOff>69011</xdr:colOff>
                    <xdr:row>48</xdr:row>
                    <xdr:rowOff>8626</xdr:rowOff>
                  </to>
                </anchor>
              </controlPr>
            </control>
          </mc:Choice>
        </mc:AlternateContent>
        <mc:AlternateContent xmlns:mc="http://schemas.openxmlformats.org/markup-compatibility/2006">
          <mc:Choice Requires="x14">
            <control shapeId="1237012" r:id="rId24" name="Drop Down 20">
              <controlPr defaultSize="0" autoLine="0" autoPict="0">
                <anchor moveWithCells="1">
                  <from>
                    <xdr:col>3</xdr:col>
                    <xdr:colOff>0</xdr:colOff>
                    <xdr:row>48</xdr:row>
                    <xdr:rowOff>0</xdr:rowOff>
                  </from>
                  <to>
                    <xdr:col>7</xdr:col>
                    <xdr:colOff>69011</xdr:colOff>
                    <xdr:row>49</xdr:row>
                    <xdr:rowOff>8626</xdr:rowOff>
                  </to>
                </anchor>
              </controlPr>
            </control>
          </mc:Choice>
        </mc:AlternateContent>
        <mc:AlternateContent xmlns:mc="http://schemas.openxmlformats.org/markup-compatibility/2006">
          <mc:Choice Requires="x14">
            <control shapeId="1237013" r:id="rId25" name="Drop Down 21">
              <controlPr defaultSize="0" autoLine="0" autoPict="0">
                <anchor moveWithCells="1">
                  <from>
                    <xdr:col>3</xdr:col>
                    <xdr:colOff>0</xdr:colOff>
                    <xdr:row>49</xdr:row>
                    <xdr:rowOff>0</xdr:rowOff>
                  </from>
                  <to>
                    <xdr:col>7</xdr:col>
                    <xdr:colOff>69011</xdr:colOff>
                    <xdr:row>50</xdr:row>
                    <xdr:rowOff>8626</xdr:rowOff>
                  </to>
                </anchor>
              </controlPr>
            </control>
          </mc:Choice>
        </mc:AlternateContent>
        <mc:AlternateContent xmlns:mc="http://schemas.openxmlformats.org/markup-compatibility/2006">
          <mc:Choice Requires="x14">
            <control shapeId="1237014" r:id="rId26" name="Drop Down 22">
              <controlPr defaultSize="0" autoLine="0" autoPict="0">
                <anchor moveWithCells="1">
                  <from>
                    <xdr:col>3</xdr:col>
                    <xdr:colOff>0</xdr:colOff>
                    <xdr:row>50</xdr:row>
                    <xdr:rowOff>0</xdr:rowOff>
                  </from>
                  <to>
                    <xdr:col>7</xdr:col>
                    <xdr:colOff>69011</xdr:colOff>
                    <xdr:row>51</xdr:row>
                    <xdr:rowOff>8626</xdr:rowOff>
                  </to>
                </anchor>
              </controlPr>
            </control>
          </mc:Choice>
        </mc:AlternateContent>
        <mc:AlternateContent xmlns:mc="http://schemas.openxmlformats.org/markup-compatibility/2006">
          <mc:Choice Requires="x14">
            <control shapeId="1237015" r:id="rId27" name="Drop Down 23">
              <controlPr defaultSize="0" autoLine="0" autoPict="0">
                <anchor moveWithCells="1">
                  <from>
                    <xdr:col>3</xdr:col>
                    <xdr:colOff>0</xdr:colOff>
                    <xdr:row>51</xdr:row>
                    <xdr:rowOff>0</xdr:rowOff>
                  </from>
                  <to>
                    <xdr:col>7</xdr:col>
                    <xdr:colOff>69011</xdr:colOff>
                    <xdr:row>52</xdr:row>
                    <xdr:rowOff>8626</xdr:rowOff>
                  </to>
                </anchor>
              </controlPr>
            </control>
          </mc:Choice>
        </mc:AlternateContent>
        <mc:AlternateContent xmlns:mc="http://schemas.openxmlformats.org/markup-compatibility/2006">
          <mc:Choice Requires="x14">
            <control shapeId="1237016" r:id="rId28" name="Drop Down 24">
              <controlPr defaultSize="0" autoLine="0" autoPict="0">
                <anchor moveWithCells="1">
                  <from>
                    <xdr:col>3</xdr:col>
                    <xdr:colOff>0</xdr:colOff>
                    <xdr:row>52</xdr:row>
                    <xdr:rowOff>0</xdr:rowOff>
                  </from>
                  <to>
                    <xdr:col>7</xdr:col>
                    <xdr:colOff>69011</xdr:colOff>
                    <xdr:row>53</xdr:row>
                    <xdr:rowOff>8626</xdr:rowOff>
                  </to>
                </anchor>
              </controlPr>
            </control>
          </mc:Choice>
        </mc:AlternateContent>
        <mc:AlternateContent xmlns:mc="http://schemas.openxmlformats.org/markup-compatibility/2006">
          <mc:Choice Requires="x14">
            <control shapeId="1237017" r:id="rId29" name="Drop Down 25">
              <controlPr defaultSize="0" autoLine="0" autoPict="0">
                <anchor moveWithCells="1">
                  <from>
                    <xdr:col>3</xdr:col>
                    <xdr:colOff>0</xdr:colOff>
                    <xdr:row>53</xdr:row>
                    <xdr:rowOff>0</xdr:rowOff>
                  </from>
                  <to>
                    <xdr:col>7</xdr:col>
                    <xdr:colOff>69011</xdr:colOff>
                    <xdr:row>54</xdr:row>
                    <xdr:rowOff>8626</xdr:rowOff>
                  </to>
                </anchor>
              </controlPr>
            </control>
          </mc:Choice>
        </mc:AlternateContent>
        <mc:AlternateContent xmlns:mc="http://schemas.openxmlformats.org/markup-compatibility/2006">
          <mc:Choice Requires="x14">
            <control shapeId="1237018" r:id="rId30" name="Drop Down 26">
              <controlPr defaultSize="0" autoLine="0" autoPict="0">
                <anchor moveWithCells="1">
                  <from>
                    <xdr:col>3</xdr:col>
                    <xdr:colOff>0</xdr:colOff>
                    <xdr:row>53</xdr:row>
                    <xdr:rowOff>181155</xdr:rowOff>
                  </from>
                  <to>
                    <xdr:col>7</xdr:col>
                    <xdr:colOff>69011</xdr:colOff>
                    <xdr:row>55</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P91"/>
  <sheetViews>
    <sheetView showGridLines="0" showZeros="0" zoomScale="80" zoomScaleNormal="80" workbookViewId="0">
      <pane xSplit="12" ySplit="6" topLeftCell="M7"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87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4.3" thickBot="1" x14ac:dyDescent="0.25">
      <c r="L1" s="299"/>
      <c r="AI1" s="41"/>
    </row>
    <row r="2" spans="1:68" s="33" customFormat="1" ht="19.55" customHeight="1" x14ac:dyDescent="0.3">
      <c r="A2" s="1076"/>
      <c r="B2" s="3391"/>
      <c r="C2" s="1845" t="s">
        <v>34</v>
      </c>
      <c r="D2" s="1846"/>
      <c r="E2" s="1847"/>
      <c r="F2" s="1847"/>
      <c r="G2" s="1847"/>
      <c r="H2" s="1847"/>
      <c r="I2" s="1865"/>
      <c r="J2" s="1866" t="e">
        <f>#REF!</f>
        <v>#REF!</v>
      </c>
      <c r="K2" s="1848" t="s">
        <v>389</v>
      </c>
      <c r="L2" s="1847"/>
      <c r="M2" s="1849"/>
      <c r="N2" s="1867"/>
      <c r="O2" s="1868" t="str">
        <f>'Landsberger-(a)'!M2</f>
        <v>Landsberger Gemenge</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e">
        <f>#REF!</f>
        <v>#REF!</v>
      </c>
      <c r="G3" s="3392" t="str">
        <f>'Landsberger-(a)'!H3</f>
        <v>Ausaat Ende August/September,Ernte Ende Mai/Juni als Silage+ 2. schnitt</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1366"/>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20"/>
      <c r="J6" s="220"/>
      <c r="K6" s="220"/>
      <c r="L6" s="425" t="s">
        <v>72</v>
      </c>
      <c r="M6" s="258">
        <f>'Landsberger-(a)'!K5</f>
        <v>0</v>
      </c>
      <c r="N6" s="1290">
        <f>'Landsberger-(a)'!M5</f>
        <v>0</v>
      </c>
      <c r="O6" s="1298">
        <f>'Landsberger-(a)'!O5</f>
        <v>0</v>
      </c>
      <c r="P6" s="163"/>
      <c r="AD6" s="163"/>
      <c r="AE6" s="163"/>
      <c r="AF6" s="163"/>
      <c r="AG6" s="163"/>
      <c r="AH6" s="163"/>
      <c r="AI6" s="163"/>
      <c r="AJ6" s="163"/>
      <c r="AK6" s="163"/>
      <c r="AL6" s="163"/>
      <c r="AM6" s="163"/>
      <c r="AN6" s="7"/>
      <c r="AO6" s="17">
        <v>2</v>
      </c>
    </row>
    <row r="7" spans="1:68" s="168" customFormat="1" ht="20.399999999999999" customHeight="1" x14ac:dyDescent="0.2">
      <c r="B7" s="3358"/>
      <c r="C7" s="1308">
        <v>4</v>
      </c>
      <c r="D7" s="332" t="s">
        <v>108</v>
      </c>
      <c r="F7" s="163"/>
      <c r="G7" s="26"/>
      <c r="H7" s="26"/>
      <c r="I7" s="220"/>
      <c r="J7" s="220"/>
      <c r="K7" s="220"/>
      <c r="L7" s="425" t="s">
        <v>72</v>
      </c>
      <c r="M7" s="391">
        <f>'Landsberger-(a)'!K9</f>
        <v>0</v>
      </c>
      <c r="N7" s="1291">
        <f>'Landsberger-(a)'!M9</f>
        <v>0</v>
      </c>
      <c r="O7" s="1299">
        <f>'Landsberger-(a)'!O9</f>
        <v>0</v>
      </c>
      <c r="P7" s="163"/>
      <c r="AD7" s="163"/>
      <c r="AE7" s="163"/>
      <c r="AF7" s="163"/>
      <c r="AG7" s="163"/>
      <c r="AH7" s="163"/>
      <c r="AI7" s="163"/>
      <c r="AJ7" s="163"/>
      <c r="AK7" s="163"/>
      <c r="AL7" s="163"/>
      <c r="AM7" s="163"/>
      <c r="AN7" s="7"/>
      <c r="AO7" s="17"/>
    </row>
    <row r="8" spans="1:68" s="1" customFormat="1" ht="16.5" customHeight="1" x14ac:dyDescent="0.2">
      <c r="A8" s="168"/>
      <c r="B8" s="3358"/>
      <c r="C8" s="1345">
        <v>5</v>
      </c>
      <c r="D8" s="1322"/>
      <c r="E8" s="381"/>
      <c r="F8" s="36"/>
      <c r="G8" s="14"/>
      <c r="H8" s="14"/>
      <c r="I8" s="323"/>
      <c r="J8" s="323"/>
      <c r="K8" s="323"/>
      <c r="L8" s="139" t="s">
        <v>376</v>
      </c>
      <c r="M8" s="404">
        <f>'Landsberger-(a)'!L9</f>
        <v>0</v>
      </c>
      <c r="N8" s="1292">
        <f>'Landsberger-(a)'!N9</f>
        <v>0</v>
      </c>
      <c r="O8" s="1201">
        <f>'Landsberger-(a)'!P9</f>
        <v>0</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20"/>
      <c r="J9" s="220"/>
      <c r="K9" s="220"/>
      <c r="L9" s="425" t="s">
        <v>72</v>
      </c>
      <c r="M9" s="967">
        <f>'Landsberger-(a)'!K11</f>
        <v>0</v>
      </c>
      <c r="N9" s="1181">
        <f>'Landsberger-(a)'!M11</f>
        <v>0</v>
      </c>
      <c r="O9" s="1302">
        <f>'Landsberger-(a)'!O11</f>
        <v>0</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20"/>
      <c r="J10" s="220"/>
      <c r="K10" s="220"/>
      <c r="L10" s="425" t="s">
        <v>376</v>
      </c>
      <c r="M10" s="1469">
        <f>'Landsberger-(a)'!L11</f>
        <v>0</v>
      </c>
      <c r="N10" s="1200">
        <f>'Landsberger-(a)'!N11</f>
        <v>0</v>
      </c>
      <c r="O10" s="1470">
        <f>'Landsberger-(a)'!P11</f>
        <v>0</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t="s">
        <v>378</v>
      </c>
      <c r="M11" s="1357">
        <f>'Landsberger-(a)'!L12</f>
        <v>0</v>
      </c>
      <c r="N11" s="1358">
        <f>'Landsberger-(a)'!N12</f>
        <v>0</v>
      </c>
      <c r="O11" s="1359">
        <f>'Landsberger-(a)'!P12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'Landsberger-(a)'!K15</f>
        <v>0</v>
      </c>
      <c r="N12" s="1293">
        <f>'Landsberger-(a)'!M15</f>
        <v>0</v>
      </c>
      <c r="O12" s="1300">
        <f>'Landsberger-(a)'!O15</f>
        <v>0</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'Landsberger-(a)'!K16</f>
        <v>0</v>
      </c>
      <c r="N13" s="1533">
        <f>'Landsberger-(a)'!M16</f>
        <v>0</v>
      </c>
      <c r="O13" s="1534">
        <f>'Landsberger-(a)'!O16</f>
        <v>0</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'Landsberger-(a)'!L24</f>
        <v>270</v>
      </c>
      <c r="N15" s="2135">
        <f>'Landsberger-(a)'!N24</f>
        <v>270</v>
      </c>
      <c r="O15" s="2138">
        <f>'Landsberger-(a)'!P24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'Landsberger-(a)'!L18</f>
        <v>230</v>
      </c>
      <c r="N16" s="1291">
        <f>'Landsberger-(a)'!N18</f>
        <v>230</v>
      </c>
      <c r="O16" s="2140">
        <f>'Landsberger-(a)'!P18</f>
        <v>230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500</v>
      </c>
      <c r="N17" s="1533">
        <f>N15+N16</f>
        <v>500</v>
      </c>
      <c r="O17" s="2146">
        <f>O15+O16</f>
        <v>500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86" t="s">
        <v>459</v>
      </c>
      <c r="C19" s="1204">
        <f>C17+1</f>
        <v>14</v>
      </c>
      <c r="D19" s="3389"/>
      <c r="E19" s="1526" t="s">
        <v>215</v>
      </c>
      <c r="F19" s="1526"/>
      <c r="G19" s="1526"/>
      <c r="H19" s="1526"/>
      <c r="I19" s="1526"/>
      <c r="J19" s="1526"/>
      <c r="K19" s="1526"/>
      <c r="L19" s="1540" t="s">
        <v>154</v>
      </c>
      <c r="M19" s="1527">
        <f>'Landsberger-(a)'!L27</f>
        <v>0</v>
      </c>
      <c r="N19" s="1528">
        <f>'Landsberger-(a)'!N27</f>
        <v>0</v>
      </c>
      <c r="O19" s="1529">
        <f>'Landsberger-(a)'!P27</f>
        <v>0</v>
      </c>
      <c r="P19" s="163"/>
      <c r="AD19" s="163"/>
      <c r="AE19" s="163"/>
      <c r="AF19" s="163"/>
      <c r="AG19" s="163"/>
      <c r="AH19" s="163"/>
      <c r="AI19" s="163"/>
      <c r="AJ19" s="163"/>
      <c r="AK19" s="163"/>
      <c r="AL19" s="163"/>
      <c r="AM19" s="163"/>
      <c r="AO19" s="233"/>
    </row>
    <row r="20" spans="1:68" ht="16.5" customHeight="1" x14ac:dyDescent="0.2">
      <c r="B20" s="3387"/>
      <c r="C20" s="1308">
        <f>C19+1</f>
        <v>15</v>
      </c>
      <c r="D20" s="3390"/>
      <c r="E20" s="16" t="s">
        <v>597</v>
      </c>
      <c r="F20" s="16"/>
      <c r="G20" s="16"/>
      <c r="H20" s="16"/>
      <c r="I20" s="16"/>
      <c r="J20" s="16"/>
      <c r="K20" s="16"/>
      <c r="L20" s="1541" t="s">
        <v>154</v>
      </c>
      <c r="M20" s="235">
        <f>'Landsberger-(a)'!L31</f>
        <v>0</v>
      </c>
      <c r="N20" s="1186">
        <f>'Landsberger-(a)'!N31</f>
        <v>0</v>
      </c>
      <c r="O20" s="1192">
        <f>'Landsberger-(a)'!P31</f>
        <v>0</v>
      </c>
      <c r="P20" s="163"/>
      <c r="AD20" s="233"/>
      <c r="AE20" s="233"/>
      <c r="AF20" s="233"/>
      <c r="AG20" s="233"/>
      <c r="AH20" s="233"/>
      <c r="AI20" s="19"/>
      <c r="AJ20" s="520"/>
      <c r="AK20" s="521"/>
      <c r="AL20" s="520"/>
      <c r="AM20" s="520"/>
      <c r="AO20" s="233"/>
    </row>
    <row r="21" spans="1:68" ht="16.5" customHeight="1" x14ac:dyDescent="0.2">
      <c r="B21" s="3387"/>
      <c r="C21" s="1308">
        <f>C20+1</f>
        <v>16</v>
      </c>
      <c r="D21" s="3390"/>
      <c r="E21" s="17" t="s">
        <v>227</v>
      </c>
      <c r="F21" s="17"/>
      <c r="G21" s="17"/>
      <c r="H21" s="17"/>
      <c r="I21" s="17"/>
      <c r="J21" s="17"/>
      <c r="K21" s="17"/>
      <c r="L21" s="1541" t="s">
        <v>154</v>
      </c>
      <c r="M21" s="235">
        <f>'Landsberger-(a)'!L37</f>
        <v>45.517500000000005</v>
      </c>
      <c r="N21" s="1186">
        <f>'Landsberger-(a)'!N37</f>
        <v>91.035000000000011</v>
      </c>
      <c r="O21" s="1192">
        <f>'Landsberger-(a)'!P37</f>
        <v>101.15</v>
      </c>
      <c r="P21" s="163"/>
      <c r="AD21" s="233"/>
      <c r="AE21" s="233"/>
      <c r="AF21" s="233"/>
      <c r="AG21" s="233"/>
      <c r="AH21" s="233"/>
      <c r="AI21" s="19"/>
      <c r="AJ21" s="520"/>
      <c r="AK21" s="521"/>
      <c r="AL21" s="520"/>
      <c r="AM21" s="520"/>
      <c r="AO21" s="233"/>
    </row>
    <row r="22" spans="1:68" ht="16.5" customHeight="1" x14ac:dyDescent="0.2">
      <c r="B22" s="3387"/>
      <c r="C22" s="1308">
        <f>C21+1</f>
        <v>17</v>
      </c>
      <c r="D22" s="3390"/>
      <c r="E22" s="17" t="s">
        <v>448</v>
      </c>
      <c r="F22" s="17"/>
      <c r="G22" s="17"/>
      <c r="H22" s="17"/>
      <c r="I22" s="17"/>
      <c r="J22" s="17"/>
      <c r="K22" s="17"/>
      <c r="L22" s="1541" t="s">
        <v>154</v>
      </c>
      <c r="M22" s="235">
        <f>'Landsberger-(a)'!L65</f>
        <v>0</v>
      </c>
      <c r="N22" s="1186">
        <f>'Landsberger-(a)'!N65</f>
        <v>0</v>
      </c>
      <c r="O22" s="1192">
        <f>'Landsberger-(a)'!P65</f>
        <v>0</v>
      </c>
      <c r="P22" s="163"/>
      <c r="AD22" s="233"/>
      <c r="AE22" s="233"/>
      <c r="AF22" s="233"/>
      <c r="AG22" s="233"/>
      <c r="AH22" s="233"/>
      <c r="AI22" s="19"/>
      <c r="AJ22" s="520"/>
      <c r="AK22" s="521"/>
      <c r="AL22" s="520"/>
      <c r="AM22" s="520"/>
      <c r="AO22" s="233"/>
    </row>
    <row r="23" spans="1:68" ht="16.5" customHeight="1" x14ac:dyDescent="0.2">
      <c r="B23" s="3387"/>
      <c r="C23" s="1308">
        <f>C22+1</f>
        <v>18</v>
      </c>
      <c r="D23" s="3390"/>
      <c r="E23" s="17" t="s">
        <v>451</v>
      </c>
      <c r="F23" s="17"/>
      <c r="G23" s="17"/>
      <c r="H23" s="17"/>
      <c r="I23" s="17"/>
      <c r="J23" s="17"/>
      <c r="K23" s="17"/>
      <c r="L23" s="1541" t="s">
        <v>154</v>
      </c>
      <c r="M23" s="235" t="e">
        <f>'Landsberger-(a)'!L67</f>
        <v>#N/A</v>
      </c>
      <c r="N23" s="1186" t="e">
        <f>'Landsberger-(a)'!N67</f>
        <v>#N/A</v>
      </c>
      <c r="O23" s="1192" t="e">
        <f>'Landsberger-(a)'!P67</f>
        <v>#N/A</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'Landsberger-(a)'!L42</f>
        <v>#VALUE!</v>
      </c>
      <c r="N24" s="1186" t="e">
        <f>'Landsberger-(a)'!N42</f>
        <v>#VALUE!</v>
      </c>
      <c r="O24" s="1192" t="e">
        <f>'Landsberger-(a)'!P42</f>
        <v>#VALUE!</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'Landsberger-(a)'!L58</f>
        <v>166.005</v>
      </c>
      <c r="N25" s="1186">
        <f>'Landsberger-(a)'!N58</f>
        <v>184.45</v>
      </c>
      <c r="O25" s="1192">
        <f>'Landsberger-(a)'!P58</f>
        <v>202.89500000000001</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'Landsberger-(a)'!L63</f>
        <v>0</v>
      </c>
      <c r="N26" s="1438">
        <f>'Landsberger-(a)'!N63</f>
        <v>0</v>
      </c>
      <c r="O26" s="1439">
        <f>'Landsberger-(a)'!P63</f>
        <v>0</v>
      </c>
      <c r="P26" s="163"/>
      <c r="AD26" s="233"/>
      <c r="AE26" s="233"/>
      <c r="AF26" s="233"/>
      <c r="AG26" s="233"/>
      <c r="AH26" s="233"/>
      <c r="AI26" s="19"/>
      <c r="AJ26" s="520"/>
      <c r="AK26" s="521"/>
      <c r="AL26" s="520"/>
      <c r="AM26" s="520"/>
      <c r="AO26" s="233"/>
    </row>
    <row r="27" spans="1:68" ht="20.399999999999999" customHeight="1" x14ac:dyDescent="0.2">
      <c r="B27" s="3388"/>
      <c r="C27" s="1345">
        <f t="shared" si="0"/>
        <v>22</v>
      </c>
      <c r="D27" s="1447" t="s">
        <v>586</v>
      </c>
      <c r="E27" s="1363"/>
      <c r="F27" s="1509"/>
      <c r="G27" s="1509"/>
      <c r="H27" s="1509"/>
      <c r="I27" s="1509"/>
      <c r="J27" s="1509"/>
      <c r="K27" s="1509"/>
      <c r="L27" s="1510" t="s">
        <v>154</v>
      </c>
      <c r="M27" s="1319" t="e">
        <f>SUM(M19:M26)</f>
        <v>#N/A</v>
      </c>
      <c r="N27" s="1319" t="e">
        <f>SUM(N19:N26)</f>
        <v>#N/A</v>
      </c>
      <c r="O27" s="1511" t="e">
        <f>SUM(O19:O26)</f>
        <v>#N/A</v>
      </c>
      <c r="P27" s="163"/>
      <c r="AD27" s="233"/>
      <c r="AE27" s="233"/>
      <c r="AF27" s="233"/>
      <c r="AG27" s="233"/>
      <c r="AH27" s="233"/>
      <c r="AI27" s="19"/>
      <c r="AJ27" s="520"/>
      <c r="AK27" s="521"/>
      <c r="AL27" s="520"/>
      <c r="AM27" s="520"/>
      <c r="AO27" s="233"/>
    </row>
    <row r="28" spans="1:68" ht="20.399999999999999" customHeight="1" x14ac:dyDescent="0.2">
      <c r="B28" s="3396" t="s">
        <v>460</v>
      </c>
      <c r="C28" s="1345">
        <f t="shared" si="0"/>
        <v>23</v>
      </c>
      <c r="D28" s="1513" t="s">
        <v>576</v>
      </c>
      <c r="E28" s="1514"/>
      <c r="F28" s="1515"/>
      <c r="G28" s="1515"/>
      <c r="H28" s="1515"/>
      <c r="I28" s="1515"/>
      <c r="J28" s="1515"/>
      <c r="K28" s="1515"/>
      <c r="L28" s="1364" t="s">
        <v>154</v>
      </c>
      <c r="M28" s="1516" t="e">
        <f>-M27</f>
        <v>#N/A</v>
      </c>
      <c r="N28" s="1516" t="e">
        <f>-N27</f>
        <v>#N/A</v>
      </c>
      <c r="O28" s="1517" t="e">
        <f>-O27</f>
        <v>#N/A</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500</v>
      </c>
      <c r="N29" s="1297">
        <f>N17</f>
        <v>500</v>
      </c>
      <c r="O29" s="1301">
        <f>O17</f>
        <v>500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M27*'Landsberger-(a)'!$L$70*'Landsberger-(a)'!$P$70/12/100</f>
        <v>#N/A</v>
      </c>
      <c r="N30" s="1438" t="e">
        <f>N27*'Landsberger-(a)'!$L$70*'Landsberger-(a)'!$P$70/12/100</f>
        <v>#N/A</v>
      </c>
      <c r="O30" s="1439" t="e">
        <f>O27*'Landsberger-(a)'!$L$70*'Landsberger-(a)'!$P$70/12/100</f>
        <v>#N/A</v>
      </c>
      <c r="P30" s="163"/>
      <c r="T30" s="7" t="s">
        <v>581</v>
      </c>
      <c r="U30" s="2121"/>
      <c r="V30" s="2121"/>
      <c r="W30" s="2121"/>
      <c r="X30" s="2121"/>
      <c r="Y30" s="2121"/>
      <c r="Z30" s="2116">
        <f>'Landsberger-(a)'!Q18+'Landsberger-(a)'!Q24</f>
        <v>0</v>
      </c>
      <c r="AA30" s="2116">
        <f>'Landsberger-(a)'!R18+'Landsberger-(a)'!R24</f>
        <v>0</v>
      </c>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#N/A</v>
      </c>
      <c r="N31" s="1313" t="e">
        <f>N28+N29-N30</f>
        <v>#N/A</v>
      </c>
      <c r="O31" s="1320" t="e">
        <f>O28+O29-O30</f>
        <v>#N/A</v>
      </c>
      <c r="P31" s="163"/>
      <c r="T31" s="7" t="s">
        <v>582</v>
      </c>
      <c r="AD31" s="233"/>
      <c r="AE31" s="233"/>
      <c r="AF31" s="233"/>
      <c r="AG31" s="233"/>
      <c r="AH31" s="233"/>
      <c r="AI31" s="19"/>
      <c r="AJ31" s="520"/>
      <c r="AK31" s="521"/>
      <c r="AL31" s="520"/>
      <c r="AM31" s="520"/>
      <c r="AO31" s="233"/>
    </row>
    <row r="32" spans="1:68" ht="17.350000000000001" customHeight="1" x14ac:dyDescent="0.2">
      <c r="A32" s="247"/>
      <c r="B32" s="3387"/>
      <c r="C32" s="1308">
        <f t="shared" si="0"/>
        <v>27</v>
      </c>
      <c r="D32" s="1501"/>
      <c r="E32" s="1471" t="s">
        <v>587</v>
      </c>
      <c r="F32" s="1475"/>
      <c r="G32" s="1475"/>
      <c r="H32" s="1475"/>
      <c r="I32" s="1475"/>
      <c r="J32" s="1475"/>
      <c r="K32" s="1475"/>
      <c r="L32" s="1370" t="s">
        <v>158</v>
      </c>
      <c r="M32" s="1502">
        <f>IF(M12=0,0,M31/M12)</f>
        <v>0</v>
      </c>
      <c r="N32" s="1180">
        <f>IF(N12=0,0,N31/N12)</f>
        <v>0</v>
      </c>
      <c r="O32" s="1503">
        <f>IF(O12=0,0,O31/O12)</f>
        <v>0</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f>IF(M13=0,0,M31/M13)</f>
        <v>0</v>
      </c>
      <c r="N33" s="1194">
        <f>IF(N13=0,0,N31/N13)</f>
        <v>0</v>
      </c>
      <c r="O33" s="1508">
        <f>IF(O13=0,0,O31/O13)</f>
        <v>0</v>
      </c>
      <c r="P33" s="163"/>
      <c r="AD33" s="233"/>
      <c r="AE33" s="233"/>
      <c r="AF33" s="233"/>
      <c r="AG33" s="233"/>
      <c r="AH33" s="233"/>
      <c r="AI33" s="19"/>
      <c r="AJ33" s="520"/>
      <c r="AK33" s="521"/>
      <c r="AL33" s="520"/>
      <c r="AM33" s="520"/>
      <c r="AO33" s="233"/>
    </row>
    <row r="34" spans="1:68" s="291" customFormat="1" ht="5.95"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7" customHeight="1" x14ac:dyDescent="0.2">
      <c r="A35" s="163"/>
      <c r="B35" s="3355" t="s">
        <v>226</v>
      </c>
      <c r="C35" s="1448">
        <f>C33+1</f>
        <v>29</v>
      </c>
      <c r="D35" s="1788"/>
      <c r="E35" s="1789" t="s">
        <v>31</v>
      </c>
      <c r="F35" s="1789"/>
      <c r="G35" s="1789"/>
      <c r="H35" s="1789"/>
      <c r="I35" s="1789"/>
      <c r="J35" s="1789"/>
      <c r="K35" s="1789"/>
      <c r="L35" s="1790" t="s">
        <v>161</v>
      </c>
      <c r="M35" s="1772" t="e">
        <f>'Landsberger-(a)'!K57</f>
        <v>#N/A</v>
      </c>
      <c r="N35" s="1771" t="e">
        <f>'Landsberger-(a)'!M57</f>
        <v>#N/A</v>
      </c>
      <c r="O35" s="1773" t="e">
        <f>'Landsberger-(a)'!O57</f>
        <v>#N/A</v>
      </c>
      <c r="P35" s="163"/>
      <c r="AD35" s="163"/>
      <c r="AE35" s="163"/>
      <c r="AF35" s="163"/>
      <c r="AG35" s="163"/>
      <c r="AH35" s="163"/>
      <c r="AI35" s="163"/>
      <c r="AJ35" s="163"/>
      <c r="AK35" s="163"/>
      <c r="AL35" s="163"/>
      <c r="AM35" s="163"/>
      <c r="AO35" s="238"/>
    </row>
    <row r="36" spans="1:68" ht="17.7" customHeight="1" x14ac:dyDescent="0.3">
      <c r="A36" s="163"/>
      <c r="B36" s="3356"/>
      <c r="C36" s="1372">
        <f>C35+1</f>
        <v>30</v>
      </c>
      <c r="D36" s="1454"/>
      <c r="E36" s="142" t="s">
        <v>162</v>
      </c>
      <c r="F36" s="142"/>
      <c r="G36" s="1530"/>
      <c r="H36" s="1530"/>
      <c r="I36" s="1539">
        <f>IF(M36=0,0,'Lager-Fläche'!$L$13)</f>
        <v>0</v>
      </c>
      <c r="J36" s="218" t="s">
        <v>32</v>
      </c>
      <c r="K36" s="218"/>
      <c r="L36" s="1531" t="s">
        <v>378</v>
      </c>
      <c r="M36" s="1802">
        <f>'Landsberger-(a)'!L10</f>
        <v>0</v>
      </c>
      <c r="N36" s="1803">
        <f>'Landsberger-(a)'!N10</f>
        <v>0</v>
      </c>
      <c r="O36" s="1804">
        <f>'Landsberger-(a)'!P10</f>
        <v>0</v>
      </c>
      <c r="P36" s="163"/>
      <c r="AD36" s="163"/>
      <c r="AE36" s="163"/>
      <c r="AF36" s="163"/>
      <c r="AG36" s="163"/>
      <c r="AH36" s="163"/>
      <c r="AI36" s="163"/>
      <c r="AJ36" s="163"/>
      <c r="AK36" s="163"/>
      <c r="AL36" s="163"/>
      <c r="AM36" s="163"/>
      <c r="AO36" s="238"/>
    </row>
    <row r="37" spans="1:68" ht="20.399999999999999" customHeight="1" x14ac:dyDescent="0.2">
      <c r="A37" s="163"/>
      <c r="B37" s="3356"/>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7" customHeight="1" x14ac:dyDescent="0.2">
      <c r="B38" s="3356"/>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6"/>
      <c r="C39" s="1349">
        <f t="shared" si="1"/>
        <v>33</v>
      </c>
      <c r="D39" s="1347"/>
      <c r="E39" s="17" t="s">
        <v>228</v>
      </c>
      <c r="F39" s="17"/>
      <c r="G39" s="17"/>
      <c r="H39" s="17"/>
      <c r="I39" s="17"/>
      <c r="J39" s="17"/>
      <c r="K39" s="17"/>
      <c r="L39" s="1198" t="s">
        <v>154</v>
      </c>
      <c r="M39" s="235">
        <f>Maschinen!$V$43</f>
        <v>299.61640083333333</v>
      </c>
      <c r="N39" s="1186">
        <f>Maschinen!$V$43</f>
        <v>299.61640083333333</v>
      </c>
      <c r="O39" s="1192">
        <f>Maschinen!$V$43</f>
        <v>299.61640083333333</v>
      </c>
      <c r="P39" s="163"/>
      <c r="AD39" s="163"/>
      <c r="AE39" s="163"/>
      <c r="AF39" s="163"/>
      <c r="AG39" s="163"/>
      <c r="AH39" s="163"/>
      <c r="AI39" s="163"/>
      <c r="AJ39" s="163"/>
      <c r="AK39" s="163"/>
      <c r="AL39" s="163"/>
      <c r="AM39" s="163"/>
      <c r="AO39" s="671"/>
    </row>
    <row r="40" spans="1:68" ht="16.5" customHeight="1" x14ac:dyDescent="0.2">
      <c r="B40" s="3356"/>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6"/>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6"/>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399999999999999" customHeight="1" thickBot="1" x14ac:dyDescent="0.25">
      <c r="B43" s="3357"/>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5.95"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 customHeight="1" x14ac:dyDescent="0.2">
      <c r="B45" s="3355"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 customHeight="1" thickBot="1" x14ac:dyDescent="0.25">
      <c r="B46" s="3358"/>
      <c r="C46" s="1350">
        <f>C45+1</f>
        <v>39</v>
      </c>
      <c r="D46" s="1193" t="s">
        <v>589</v>
      </c>
      <c r="E46" s="1334"/>
      <c r="F46" s="1451"/>
      <c r="G46" s="1451"/>
      <c r="H46" s="1451"/>
      <c r="I46" s="1535"/>
      <c r="J46" s="1535"/>
      <c r="K46" s="1535"/>
      <c r="L46" s="1209" t="s">
        <v>154</v>
      </c>
      <c r="M46" s="1497" t="e">
        <f>M27+M30+M43</f>
        <v>#N/A</v>
      </c>
      <c r="N46" s="1497" t="e">
        <f>N27+N30+N43</f>
        <v>#N/A</v>
      </c>
      <c r="O46" s="1536" t="e">
        <f>O27+O30+O43</f>
        <v>#N/A</v>
      </c>
      <c r="P46" s="163"/>
      <c r="AD46" s="9"/>
      <c r="AE46" s="9"/>
      <c r="AF46" s="9"/>
      <c r="AG46" s="9"/>
      <c r="AH46" s="9"/>
      <c r="AI46" s="19"/>
      <c r="AJ46" s="520"/>
      <c r="AK46" s="521"/>
      <c r="AL46" s="520"/>
      <c r="AM46" s="520"/>
      <c r="AO46" s="9"/>
    </row>
    <row r="47" spans="1:68" ht="18.7" customHeight="1" x14ac:dyDescent="0.2">
      <c r="B47" s="3358"/>
      <c r="C47" s="1448">
        <f>C46+1</f>
        <v>40</v>
      </c>
      <c r="D47" s="1461" t="s">
        <v>590</v>
      </c>
      <c r="E47" s="1462"/>
      <c r="F47" s="1195"/>
      <c r="G47" s="1195"/>
      <c r="H47" s="1195"/>
      <c r="I47" s="1195"/>
      <c r="J47" s="1195"/>
      <c r="K47" s="1195"/>
      <c r="L47" s="1215" t="s">
        <v>154</v>
      </c>
      <c r="M47" s="1667" t="e">
        <f>M45-M46</f>
        <v>#N/A</v>
      </c>
      <c r="N47" s="1667" t="e">
        <f>N45-N46</f>
        <v>#N/A</v>
      </c>
      <c r="O47" s="1668" t="e">
        <f>O45-O46</f>
        <v>#N/A</v>
      </c>
      <c r="P47" s="163"/>
      <c r="AD47" s="9"/>
      <c r="AE47" s="9"/>
      <c r="AF47" s="9"/>
      <c r="AG47" s="9"/>
      <c r="AH47" s="237"/>
      <c r="AI47" s="237"/>
      <c r="AJ47" s="1082"/>
      <c r="AK47" s="1083"/>
      <c r="AL47" s="1082"/>
      <c r="AM47" s="1082"/>
      <c r="AO47" s="9"/>
    </row>
    <row r="48" spans="1:68" s="1446" customFormat="1" ht="18.7" customHeight="1" x14ac:dyDescent="0.2">
      <c r="A48" s="645"/>
      <c r="B48" s="3358"/>
      <c r="C48" s="1369">
        <f>C47+1</f>
        <v>41</v>
      </c>
      <c r="D48" s="1543" t="s">
        <v>569</v>
      </c>
      <c r="E48" s="1463"/>
      <c r="F48" s="1464"/>
      <c r="G48" s="1464"/>
      <c r="H48" s="1464"/>
      <c r="I48" s="1465"/>
      <c r="J48" s="1465"/>
      <c r="K48" s="1465"/>
      <c r="L48" s="1466" t="s">
        <v>154</v>
      </c>
      <c r="M48" s="1664">
        <f>M17</f>
        <v>500</v>
      </c>
      <c r="N48" s="1665">
        <f>N17</f>
        <v>500</v>
      </c>
      <c r="O48" s="1666">
        <f>O17</f>
        <v>500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 customHeight="1" thickBot="1" x14ac:dyDescent="0.25">
      <c r="B49" s="3359"/>
      <c r="C49" s="1350">
        <f>C48+1</f>
        <v>42</v>
      </c>
      <c r="D49" s="1467" t="s">
        <v>591</v>
      </c>
      <c r="E49" s="1334"/>
      <c r="F49" s="1451"/>
      <c r="G49" s="1451"/>
      <c r="H49" s="1451"/>
      <c r="I49" s="1451"/>
      <c r="J49" s="1451"/>
      <c r="K49" s="1451"/>
      <c r="L49" s="1209" t="s">
        <v>154</v>
      </c>
      <c r="M49" s="1449" t="e">
        <f>M47+M48</f>
        <v>#N/A</v>
      </c>
      <c r="N49" s="1449" t="e">
        <f>N47+N48</f>
        <v>#N/A</v>
      </c>
      <c r="O49" s="1452" t="e">
        <f>O47+O48</f>
        <v>#N/A</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97"/>
      <c r="C51" s="1448">
        <f>C49+1</f>
        <v>43</v>
      </c>
      <c r="D51" s="1333" t="s">
        <v>578</v>
      </c>
      <c r="E51" s="1462"/>
      <c r="F51" s="1195"/>
      <c r="G51" s="1195"/>
      <c r="H51" s="1195"/>
      <c r="I51" s="1195"/>
      <c r="J51" s="1462"/>
      <c r="K51" s="1462"/>
      <c r="L51" s="1215" t="s">
        <v>154</v>
      </c>
      <c r="M51" s="1315" t="e">
        <f>M46-M48</f>
        <v>#N/A</v>
      </c>
      <c r="N51" s="1315" t="e">
        <f>N46-N48</f>
        <v>#N/A</v>
      </c>
      <c r="O51" s="2149" t="e">
        <f>O46-O48</f>
        <v>#N/A</v>
      </c>
      <c r="P51" s="163"/>
      <c r="AD51" s="17"/>
      <c r="AE51" s="17"/>
      <c r="AF51" s="17"/>
      <c r="AG51" s="17"/>
      <c r="AH51" s="238"/>
      <c r="AI51" s="19"/>
      <c r="AJ51" s="1082"/>
      <c r="AK51" s="1083"/>
      <c r="AL51" s="1082"/>
      <c r="AM51" s="1082"/>
      <c r="AO51" s="9"/>
    </row>
    <row r="52" spans="1:68" ht="16.5" customHeight="1" x14ac:dyDescent="0.2">
      <c r="B52" s="3356"/>
      <c r="C52" s="1349">
        <f t="shared" ref="C52:C62" si="2">C51+1</f>
        <v>44</v>
      </c>
      <c r="D52" s="1188"/>
      <c r="E52" s="1318"/>
      <c r="F52" s="1182"/>
      <c r="G52" s="1182"/>
      <c r="H52" s="1182"/>
      <c r="I52" s="1294"/>
      <c r="J52" s="1294"/>
      <c r="L52" s="1370" t="s">
        <v>101</v>
      </c>
      <c r="M52" s="1739">
        <f>IF(M10=0,0,M$51/M10)</f>
        <v>0</v>
      </c>
      <c r="N52" s="1740">
        <f>IF(N10=0,0,N$51/N10)</f>
        <v>0</v>
      </c>
      <c r="O52" s="1741">
        <f>IF(O10=0,0,O$51/O10)</f>
        <v>0</v>
      </c>
      <c r="P52" s="163"/>
      <c r="AD52" s="17"/>
      <c r="AE52" s="17"/>
      <c r="AF52" s="17"/>
      <c r="AG52" s="17"/>
      <c r="AH52" s="238"/>
      <c r="AI52" s="19"/>
      <c r="AJ52" s="1082"/>
      <c r="AK52" s="1083"/>
      <c r="AL52" s="1082"/>
      <c r="AM52" s="1082"/>
      <c r="AO52" s="9"/>
    </row>
    <row r="53" spans="1:68" ht="16.5" customHeight="1" x14ac:dyDescent="0.2">
      <c r="B53" s="3356"/>
      <c r="C53" s="1349">
        <f t="shared" si="2"/>
        <v>45</v>
      </c>
      <c r="E53" s="1375" t="s">
        <v>318</v>
      </c>
      <c r="G53" s="1182"/>
      <c r="H53" s="1182"/>
      <c r="I53" s="1294"/>
      <c r="J53" s="1294"/>
      <c r="K53" s="1473"/>
      <c r="L53" s="1370" t="s">
        <v>464</v>
      </c>
      <c r="M53" s="1739">
        <f>IF(M9=0,0,M$51/M9)</f>
        <v>0</v>
      </c>
      <c r="N53" s="1740">
        <f>IF(N9=0,0,N$51/N9)</f>
        <v>0</v>
      </c>
      <c r="O53" s="1741">
        <f>IF(O9=0,0,O$51/O9)</f>
        <v>0</v>
      </c>
      <c r="P53" s="163"/>
      <c r="AD53" s="17"/>
      <c r="AE53" s="17"/>
      <c r="AF53" s="17"/>
      <c r="AG53" s="17"/>
      <c r="AH53" s="238"/>
      <c r="AI53" s="19"/>
      <c r="AJ53" s="1082"/>
      <c r="AK53" s="1083"/>
      <c r="AL53" s="1082"/>
      <c r="AM53" s="1082"/>
      <c r="AO53" s="9"/>
    </row>
    <row r="54" spans="1:68" ht="16.5" customHeight="1" x14ac:dyDescent="0.2">
      <c r="B54" s="3356"/>
      <c r="C54" s="1349">
        <f t="shared" si="2"/>
        <v>46</v>
      </c>
      <c r="E54" s="1501" t="s">
        <v>592</v>
      </c>
      <c r="F54" s="1472"/>
      <c r="G54" s="1472"/>
      <c r="H54" s="1472"/>
      <c r="I54" s="1473"/>
      <c r="J54" s="1473"/>
      <c r="K54" s="1473"/>
      <c r="L54" s="1370" t="s">
        <v>374</v>
      </c>
      <c r="M54" s="1739">
        <f t="shared" ref="M54:O55" si="3">IF(M11=0,0,M$51/M11)</f>
        <v>0</v>
      </c>
      <c r="N54" s="1740">
        <f t="shared" si="3"/>
        <v>0</v>
      </c>
      <c r="O54" s="1741">
        <f t="shared" si="3"/>
        <v>0</v>
      </c>
      <c r="P54" s="163"/>
      <c r="AD54" s="17"/>
      <c r="AE54" s="17"/>
      <c r="AF54" s="17"/>
      <c r="AG54" s="17"/>
      <c r="AH54" s="238"/>
      <c r="AI54" s="19"/>
      <c r="AJ54" s="1082"/>
      <c r="AK54" s="1083"/>
      <c r="AL54" s="1082"/>
      <c r="AM54" s="1082"/>
      <c r="AO54" s="9"/>
    </row>
    <row r="55" spans="1:68" ht="16.5" customHeight="1" x14ac:dyDescent="0.2">
      <c r="B55" s="3356"/>
      <c r="C55" s="1349">
        <f t="shared" si="2"/>
        <v>47</v>
      </c>
      <c r="D55" s="1474"/>
      <c r="E55" s="1476"/>
      <c r="F55" s="1477"/>
      <c r="G55" s="1477"/>
      <c r="H55" s="1477"/>
      <c r="I55" s="1473"/>
      <c r="J55" s="1473"/>
      <c r="K55" s="1473"/>
      <c r="L55" s="1370" t="s">
        <v>158</v>
      </c>
      <c r="M55" s="1658">
        <f t="shared" si="3"/>
        <v>0</v>
      </c>
      <c r="N55" s="1659">
        <f t="shared" si="3"/>
        <v>0</v>
      </c>
      <c r="O55" s="1660">
        <f t="shared" si="3"/>
        <v>0</v>
      </c>
      <c r="P55" s="163"/>
      <c r="AD55" s="104"/>
      <c r="AE55" s="104"/>
      <c r="AF55" s="104"/>
      <c r="AG55" s="104"/>
      <c r="AH55" s="239"/>
      <c r="AI55" s="19"/>
      <c r="AJ55" s="1084"/>
      <c r="AK55" s="1085"/>
      <c r="AL55" s="1084"/>
      <c r="AM55" s="1084"/>
      <c r="AO55" s="9"/>
    </row>
    <row r="56" spans="1:68" ht="16.5" customHeight="1" x14ac:dyDescent="0.2">
      <c r="B56" s="3356"/>
      <c r="C56" s="1349">
        <f t="shared" si="2"/>
        <v>48</v>
      </c>
      <c r="D56" s="1474"/>
      <c r="E56" s="2165"/>
      <c r="F56" s="1477"/>
      <c r="G56" s="1477"/>
      <c r="H56" s="1477"/>
      <c r="I56" s="1473"/>
      <c r="J56" s="1473"/>
      <c r="K56" s="1473"/>
      <c r="L56" s="1370" t="s">
        <v>159</v>
      </c>
      <c r="M56" s="1658">
        <f>IF(M13=0,0,M$51/M13)</f>
        <v>0</v>
      </c>
      <c r="N56" s="1659">
        <f>IF(N13=0,0,N$51/N13)</f>
        <v>0</v>
      </c>
      <c r="O56" s="1660">
        <f>IF(O13=0,0,O$51/O13)</f>
        <v>0</v>
      </c>
      <c r="P56" s="163"/>
      <c r="AD56" s="104"/>
      <c r="AE56" s="104"/>
      <c r="AF56" s="104"/>
      <c r="AG56" s="104"/>
      <c r="AH56" s="239"/>
      <c r="AI56" s="19"/>
      <c r="AJ56" s="1084"/>
      <c r="AK56" s="1085"/>
      <c r="AL56" s="1084"/>
      <c r="AM56" s="1084"/>
      <c r="AO56" s="9"/>
    </row>
    <row r="57" spans="1:68" ht="16.5" customHeight="1" x14ac:dyDescent="0.2">
      <c r="B57" s="3356"/>
      <c r="C57" s="1372">
        <f t="shared" si="2"/>
        <v>49</v>
      </c>
      <c r="D57" s="1478"/>
      <c r="E57" s="2164" t="s">
        <v>571</v>
      </c>
      <c r="F57" s="2148">
        <v>36</v>
      </c>
      <c r="G57" s="379" t="s">
        <v>579</v>
      </c>
      <c r="H57" s="1480"/>
      <c r="I57" s="1481"/>
      <c r="J57" s="1481"/>
      <c r="K57" s="1481"/>
      <c r="L57" s="1482" t="s">
        <v>583</v>
      </c>
      <c r="M57" s="1661" t="e">
        <f>M51/$M$12*10/$F$57</f>
        <v>#N/A</v>
      </c>
      <c r="N57" s="1662" t="e">
        <f>N51/$N$12*10/$F$57</f>
        <v>#N/A</v>
      </c>
      <c r="O57" s="1663" t="e">
        <f>O51/$O$12*10/$F$57</f>
        <v>#N/A</v>
      </c>
      <c r="P57" s="163"/>
      <c r="AD57" s="104"/>
      <c r="AE57" s="104"/>
      <c r="AF57" s="104"/>
      <c r="AG57" s="104"/>
      <c r="AH57" s="239"/>
      <c r="AI57" s="19"/>
      <c r="AJ57" s="1084"/>
      <c r="AK57" s="1085"/>
      <c r="AL57" s="1084"/>
      <c r="AM57" s="1084"/>
      <c r="AO57" s="9"/>
    </row>
    <row r="58" spans="1:68" s="291" customFormat="1" ht="21.25" customHeight="1" x14ac:dyDescent="0.2">
      <c r="B58" s="3356"/>
      <c r="C58" s="1349">
        <f t="shared" si="2"/>
        <v>50</v>
      </c>
      <c r="D58" s="1185" t="s">
        <v>580</v>
      </c>
      <c r="E58" s="1484"/>
      <c r="F58" s="1182"/>
      <c r="G58" s="1182"/>
      <c r="H58" s="1182"/>
      <c r="I58" s="1294"/>
      <c r="J58" s="1294"/>
      <c r="K58" s="1294"/>
      <c r="L58" s="1208" t="s">
        <v>154</v>
      </c>
      <c r="M58" s="1313" t="e">
        <f>M51-M38</f>
        <v>#N/A</v>
      </c>
      <c r="N58" s="1313" t="e">
        <f>N51-N38</f>
        <v>#N/A</v>
      </c>
      <c r="O58" s="1320" t="e">
        <f>O51-O38</f>
        <v>#N/A</v>
      </c>
      <c r="P58" s="247"/>
      <c r="AD58" s="132"/>
      <c r="AE58" s="132"/>
      <c r="AF58" s="132"/>
      <c r="AG58" s="132"/>
      <c r="AH58" s="377"/>
      <c r="AI58" s="376"/>
      <c r="AJ58" s="1086"/>
      <c r="AK58" s="1086"/>
      <c r="AL58" s="1086"/>
      <c r="AM58" s="1086"/>
      <c r="AO58" s="373"/>
    </row>
    <row r="59" spans="1:68" s="291" customFormat="1" ht="16.5" customHeight="1" x14ac:dyDescent="0.2">
      <c r="B59" s="3356"/>
      <c r="C59" s="1349">
        <f t="shared" si="2"/>
        <v>51</v>
      </c>
      <c r="D59" s="1185"/>
      <c r="E59" s="2172" t="s">
        <v>593</v>
      </c>
      <c r="F59" s="1182"/>
      <c r="G59" s="1182"/>
      <c r="H59" s="1182"/>
      <c r="I59" s="1294"/>
      <c r="J59" s="1294"/>
      <c r="K59" s="1294"/>
      <c r="L59" s="1208" t="s">
        <v>464</v>
      </c>
      <c r="M59" s="2166" t="e">
        <f>M58/M7</f>
        <v>#N/A</v>
      </c>
      <c r="N59" s="2166" t="e">
        <f>N58/N7</f>
        <v>#N/A</v>
      </c>
      <c r="O59" s="2167" t="e">
        <f>O58/O7</f>
        <v>#N/A</v>
      </c>
      <c r="P59" s="247"/>
      <c r="AD59" s="132"/>
      <c r="AE59" s="132"/>
      <c r="AF59" s="132"/>
      <c r="AG59" s="132"/>
      <c r="AH59" s="377"/>
      <c r="AI59" s="376"/>
      <c r="AJ59" s="1086"/>
      <c r="AK59" s="1086"/>
      <c r="AL59" s="1086"/>
      <c r="AM59" s="1086"/>
      <c r="AO59" s="373"/>
    </row>
    <row r="60" spans="1:68" s="371" customFormat="1" ht="16.5" customHeight="1" x14ac:dyDescent="0.2">
      <c r="A60" s="291"/>
      <c r="B60" s="3356"/>
      <c r="C60" s="1349">
        <f t="shared" si="2"/>
        <v>52</v>
      </c>
      <c r="D60" s="1475"/>
      <c r="E60" s="1471"/>
      <c r="F60" s="1476"/>
      <c r="G60" s="1476"/>
      <c r="H60" s="1476"/>
      <c r="I60" s="1965"/>
      <c r="J60" s="374"/>
      <c r="K60" s="374"/>
      <c r="L60" s="1214" t="s">
        <v>158</v>
      </c>
      <c r="M60" s="1656">
        <f>IF(M12=0,0,M$58/M12)</f>
        <v>0</v>
      </c>
      <c r="N60" s="1580">
        <f>IF(N12=0,0,N$58/N12)</f>
        <v>0</v>
      </c>
      <c r="O60" s="1657">
        <f>IF(O12=0,0,O$58/O12)</f>
        <v>0</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6"/>
      <c r="C61" s="1349">
        <f t="shared" si="2"/>
        <v>53</v>
      </c>
      <c r="D61" s="2169"/>
      <c r="E61" s="291"/>
      <c r="F61" s="291"/>
      <c r="G61" s="291"/>
      <c r="H61" s="375"/>
      <c r="I61" s="374"/>
      <c r="J61" s="374"/>
      <c r="K61" s="1473"/>
      <c r="L61" s="1214" t="s">
        <v>583</v>
      </c>
      <c r="M61" s="2170" t="e">
        <f>M58/$M$12*10/$F$57</f>
        <v>#N/A</v>
      </c>
      <c r="N61" s="1580" t="e">
        <f>N58/$N$12*10/$F$57</f>
        <v>#N/A</v>
      </c>
      <c r="O61" s="2171" t="e">
        <f>O58/$O$12*10/$F$57</f>
        <v>#N/A</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72">
        <f t="shared" si="2"/>
        <v>54</v>
      </c>
      <c r="D62" s="570"/>
      <c r="E62" s="2168"/>
      <c r="F62" s="379"/>
      <c r="G62" s="379"/>
      <c r="H62" s="379"/>
      <c r="I62" s="380"/>
      <c r="J62" s="380"/>
      <c r="K62" s="1481"/>
      <c r="L62" s="1216" t="s">
        <v>159</v>
      </c>
      <c r="M62" s="1487">
        <f>IF(M13=0,0,M$58/M13)</f>
        <v>0</v>
      </c>
      <c r="N62" s="1377">
        <f>IF(N13=0,0,N$58/N13)</f>
        <v>0</v>
      </c>
      <c r="O62" s="1488">
        <f>IF(O13=0,0,O$58/O13)</f>
        <v>0</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5" customHeight="1" thickBot="1" x14ac:dyDescent="0.25">
      <c r="B63" s="339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6"/>
      <c r="C64" s="1448">
        <f>C62+1</f>
        <v>55</v>
      </c>
      <c r="D64" s="1461" t="s">
        <v>594</v>
      </c>
      <c r="E64" s="1462"/>
      <c r="F64" s="1333"/>
      <c r="G64" s="1333"/>
      <c r="H64" s="1333"/>
      <c r="I64" s="1333"/>
      <c r="J64" s="1333"/>
      <c r="K64" s="1333"/>
      <c r="L64" s="1215" t="s">
        <v>154</v>
      </c>
      <c r="M64" s="1316" t="e">
        <f>SUM(M19:M23)+M30</f>
        <v>#N/A</v>
      </c>
      <c r="N64" s="1316" t="e">
        <f>SUM(N19:N23)+N30</f>
        <v>#N/A</v>
      </c>
      <c r="O64" s="1317" t="e">
        <f>SUM(O19:O23)+O30</f>
        <v>#N/A</v>
      </c>
      <c r="P64" s="163"/>
      <c r="AD64" s="233"/>
      <c r="AE64" s="233"/>
      <c r="AF64" s="233"/>
      <c r="AG64" s="233"/>
      <c r="AH64" s="233"/>
      <c r="AI64" s="19"/>
      <c r="AJ64" s="520"/>
      <c r="AK64" s="521"/>
      <c r="AL64" s="520"/>
      <c r="AM64" s="520"/>
      <c r="AO64" s="233"/>
    </row>
    <row r="65" spans="2:41" ht="16.5" customHeight="1" x14ac:dyDescent="0.2">
      <c r="B65" s="3356"/>
      <c r="C65" s="1372">
        <f>C64+1</f>
        <v>56</v>
      </c>
      <c r="D65" s="1485"/>
      <c r="E65" s="1486"/>
      <c r="F65" s="1485"/>
      <c r="G65" s="1485"/>
      <c r="H65" s="1485"/>
      <c r="I65" s="1485"/>
      <c r="J65" s="1485"/>
      <c r="K65" s="1485"/>
      <c r="L65" s="1482" t="s">
        <v>158</v>
      </c>
      <c r="M65" s="1487" t="e">
        <f>M64/M12</f>
        <v>#N/A</v>
      </c>
      <c r="N65" s="1377" t="e">
        <f>N64/N12</f>
        <v>#N/A</v>
      </c>
      <c r="O65" s="1488" t="e">
        <f>O64/O12</f>
        <v>#N/A</v>
      </c>
      <c r="P65" s="163"/>
      <c r="AD65" s="233"/>
      <c r="AE65" s="233"/>
      <c r="AF65" s="233"/>
      <c r="AG65" s="233"/>
      <c r="AH65" s="233"/>
      <c r="AI65" s="19"/>
      <c r="AJ65" s="520"/>
      <c r="AK65" s="521"/>
      <c r="AL65" s="520"/>
      <c r="AM65" s="520"/>
      <c r="AO65" s="233"/>
    </row>
    <row r="66" spans="2:41" ht="16.5" customHeight="1" x14ac:dyDescent="0.2">
      <c r="B66" s="3356"/>
      <c r="C66" s="1349">
        <f>C65+1</f>
        <v>57</v>
      </c>
      <c r="D66" s="1492" t="s">
        <v>595</v>
      </c>
      <c r="E66" s="1378"/>
      <c r="F66" s="1493"/>
      <c r="G66" s="1493"/>
      <c r="H66" s="1493"/>
      <c r="I66" s="1493"/>
      <c r="J66" s="1493"/>
      <c r="K66" s="1493"/>
      <c r="L66" s="1332" t="s">
        <v>154</v>
      </c>
      <c r="M66" s="1494" t="e">
        <f>N24+M25+M26+M39+M37</f>
        <v>#VALUE!</v>
      </c>
      <c r="N66" s="1494" t="e">
        <f>N24+N25+N26+N39+N37</f>
        <v>#VALUE!</v>
      </c>
      <c r="O66" s="1495" t="e">
        <f>O24+O25+O26+O39+O37</f>
        <v>#VALUE!</v>
      </c>
      <c r="P66" s="163"/>
      <c r="AD66" s="233"/>
      <c r="AE66" s="233"/>
      <c r="AF66" s="233"/>
      <c r="AG66" s="233"/>
      <c r="AH66" s="233"/>
      <c r="AI66" s="19"/>
      <c r="AJ66" s="520"/>
      <c r="AK66" s="521"/>
      <c r="AL66" s="520"/>
      <c r="AM66" s="520"/>
      <c r="AO66" s="233"/>
    </row>
    <row r="67" spans="2:41" ht="14.95" customHeight="1" thickBot="1" x14ac:dyDescent="0.25">
      <c r="B67" s="3357"/>
      <c r="C67" s="1350">
        <f>C66+1</f>
        <v>58</v>
      </c>
      <c r="D67" s="1489" t="s">
        <v>596</v>
      </c>
      <c r="E67" s="1490"/>
      <c r="F67" s="1490"/>
      <c r="G67" s="1490"/>
      <c r="H67" s="1490"/>
      <c r="I67" s="1490"/>
      <c r="J67" s="1490"/>
      <c r="K67" s="1490"/>
      <c r="L67" s="1491" t="s">
        <v>158</v>
      </c>
      <c r="M67" s="1614" t="e">
        <f>M66/M12</f>
        <v>#VALUE!</v>
      </c>
      <c r="N67" s="1612" t="e">
        <f>N66/N12</f>
        <v>#VALUE!</v>
      </c>
      <c r="O67" s="1631" t="e">
        <f>O66/O12</f>
        <v>#VALUE!</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7"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useFirstPageNumber="1" horizontalDpi="300" verticalDpi="300" r:id="rId1"/>
      <headerFooter alignWithMargins="0">
        <oddFooter>&amp;L&amp;12LEL Schwäbisch Gmünd (Abtlg. II)
LAZBW Aulendorf&amp;C&amp;12 67&amp;9
&amp;R&amp;12&amp;F
&amp;A</oddFooter>
      </headerFooter>
    </customSheetView>
  </customSheetViews>
  <mergeCells count="10">
    <mergeCell ref="B28:B33"/>
    <mergeCell ref="B35:B43"/>
    <mergeCell ref="B45:B49"/>
    <mergeCell ref="B51:B67"/>
    <mergeCell ref="B2:B4"/>
    <mergeCell ref="G3:O3"/>
    <mergeCell ref="B6:B13"/>
    <mergeCell ref="B15:B17"/>
    <mergeCell ref="B19:B27"/>
    <mergeCell ref="D19:D23"/>
  </mergeCells>
  <printOptions horizontalCentered="1"/>
  <pageMargins left="0.51181102362204722" right="0.27559055118110237" top="0.55118110236220474" bottom="0.70866141732283472" header="0.51181102362204722" footer="0.31496062992125984"/>
  <pageSetup paperSize="9" scale="68" firstPageNumber="15" orientation="portrait" useFirstPageNumber="1" horizontalDpi="300" verticalDpi="300" r:id="rId2"/>
  <headerFooter alignWithMargins="0">
    <oddFooter>&amp;L&amp;12LEL Schwäbisch Gmünd (Abtlg. II)
LAZBW Aulendorf&amp;C&amp;12 67&amp;9
&amp;R&amp;12&amp;F
&amp;A</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5">
    <tabColor rgb="FFFFFF00"/>
    <pageSetUpPr fitToPage="1"/>
  </sheetPr>
  <dimension ref="A1:CA73"/>
  <sheetViews>
    <sheetView showGridLines="0" showZeros="0" zoomScale="90" workbookViewId="0">
      <pane xSplit="10" ySplit="5" topLeftCell="K6"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2.9" x14ac:dyDescent="0.2"/>
  <cols>
    <col min="1" max="1" width="7.625" style="8" customWidth="1"/>
    <col min="2" max="2" width="8" style="8" customWidth="1"/>
    <col min="3" max="3" width="1" style="7" customWidth="1"/>
    <col min="4" max="4" width="17.375" style="7" customWidth="1"/>
    <col min="5" max="5" width="7.625" style="7" customWidth="1"/>
    <col min="6" max="6" width="9.875" style="7" customWidth="1"/>
    <col min="7" max="7" width="10" style="7" customWidth="1"/>
    <col min="8" max="8" width="12" style="7" customWidth="1"/>
    <col min="9" max="9" width="8.375" style="7" customWidth="1"/>
    <col min="10" max="10" width="8.625" style="41" customWidth="1"/>
    <col min="11" max="11" width="8.625" style="291" customWidth="1"/>
    <col min="12" max="12" width="9.625" style="291" customWidth="1"/>
    <col min="13" max="13" width="8.625" style="7" customWidth="1"/>
    <col min="14" max="14" width="10.625" style="7" customWidth="1"/>
    <col min="15" max="15" width="8.625" style="291" customWidth="1"/>
    <col min="16" max="16" width="11.625" style="291" customWidth="1"/>
    <col min="17" max="17" width="20.375" style="438" customWidth="1"/>
    <col min="18" max="26" width="7.375" style="438" customWidth="1"/>
    <col min="27" max="79" width="11.375" style="438"/>
    <col min="80" max="16384" width="11.375" style="8"/>
  </cols>
  <sheetData>
    <row r="1" spans="1:79" ht="16.149999999999999" customHeight="1" x14ac:dyDescent="0.2">
      <c r="B1" s="3169" t="s">
        <v>176</v>
      </c>
      <c r="C1" s="3169"/>
      <c r="D1" s="3169"/>
      <c r="E1" s="3169"/>
      <c r="F1" s="3169"/>
    </row>
    <row r="2" spans="1:79" s="29" customFormat="1" ht="20.25" customHeight="1" x14ac:dyDescent="0.3">
      <c r="A2" s="182" t="s">
        <v>387</v>
      </c>
      <c r="B2" s="183"/>
      <c r="C2" s="1829" t="s">
        <v>388</v>
      </c>
      <c r="D2" s="1830"/>
      <c r="E2" s="1111"/>
      <c r="F2" s="1111"/>
      <c r="G2" s="1831" t="s">
        <v>256</v>
      </c>
      <c r="H2" s="1840" t="e">
        <f>#REF!</f>
        <v>#REF!</v>
      </c>
      <c r="I2" s="1841" t="s">
        <v>490</v>
      </c>
      <c r="J2" s="1832">
        <f>Prämien!Y2</f>
        <v>2018</v>
      </c>
      <c r="K2" s="1833" t="s">
        <v>389</v>
      </c>
      <c r="L2" s="1111"/>
      <c r="M2" s="3409" t="s">
        <v>630</v>
      </c>
      <c r="N2" s="3409"/>
      <c r="O2" s="3409"/>
      <c r="P2" s="3410"/>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row>
    <row r="3" spans="1:79" s="29" customFormat="1" ht="26.7" customHeight="1" x14ac:dyDescent="0.25">
      <c r="A3"/>
      <c r="B3" s="506"/>
      <c r="C3" s="1834"/>
      <c r="D3" s="1835" t="s">
        <v>382</v>
      </c>
      <c r="E3" s="36"/>
      <c r="F3" s="139"/>
      <c r="G3" s="36"/>
      <c r="H3" s="3379" t="s">
        <v>669</v>
      </c>
      <c r="I3" s="3380"/>
      <c r="J3" s="3380"/>
      <c r="K3" s="3380"/>
      <c r="L3" s="3380"/>
      <c r="M3" s="3380"/>
      <c r="N3" s="3380"/>
      <c r="O3" s="3380"/>
      <c r="P3" s="3381"/>
      <c r="Q3" s="432"/>
      <c r="R3" s="432"/>
      <c r="S3" s="432"/>
      <c r="T3" s="432"/>
      <c r="U3" s="432"/>
      <c r="V3" s="432"/>
      <c r="W3" s="432"/>
      <c r="X3" s="432"/>
      <c r="Y3" s="432"/>
      <c r="Z3" s="432"/>
      <c r="AA3" s="432"/>
      <c r="AB3" s="432"/>
      <c r="AC3" s="432"/>
      <c r="AD3" s="432"/>
      <c r="AE3" s="432"/>
      <c r="AF3" s="432"/>
      <c r="AG3" s="432"/>
      <c r="AH3" s="432"/>
      <c r="AI3" s="432"/>
      <c r="AJ3" s="431"/>
      <c r="AK3" s="431"/>
      <c r="AL3" s="431"/>
      <c r="AM3" s="431"/>
      <c r="AN3" s="431"/>
      <c r="AO3" s="431"/>
      <c r="AP3" s="431"/>
      <c r="AQ3" s="431"/>
      <c r="AR3" s="431"/>
      <c r="AS3" s="431"/>
      <c r="AT3" s="431"/>
      <c r="AU3" s="431"/>
      <c r="AV3" s="431"/>
      <c r="AW3" s="431"/>
      <c r="AX3" s="431"/>
      <c r="AY3" s="431"/>
      <c r="AZ3" s="431"/>
      <c r="BA3" s="431"/>
      <c r="BB3" s="431"/>
      <c r="BC3" s="431"/>
      <c r="BD3" s="431"/>
      <c r="BE3" s="431"/>
      <c r="BF3" s="431"/>
      <c r="BG3" s="431"/>
      <c r="BH3" s="431"/>
      <c r="BI3" s="431"/>
      <c r="BJ3" s="431"/>
      <c r="BK3" s="431"/>
      <c r="BL3" s="431"/>
      <c r="BM3" s="431"/>
      <c r="BN3" s="431"/>
      <c r="BO3" s="431"/>
      <c r="BP3" s="431"/>
      <c r="BQ3" s="431"/>
      <c r="BR3" s="431"/>
      <c r="BS3" s="431"/>
      <c r="BT3" s="431"/>
      <c r="BU3" s="431"/>
      <c r="BV3" s="431"/>
      <c r="BW3" s="431"/>
      <c r="BX3" s="431"/>
      <c r="BY3" s="431"/>
      <c r="BZ3" s="431"/>
      <c r="CA3" s="431"/>
    </row>
    <row r="4" spans="1:79" s="89" customFormat="1" ht="18.7" customHeight="1" x14ac:dyDescent="0.2">
      <c r="A4" s="180" t="s">
        <v>89</v>
      </c>
      <c r="B4" s="181"/>
      <c r="C4" s="213"/>
      <c r="D4" s="265" t="s">
        <v>67</v>
      </c>
      <c r="E4" s="265"/>
      <c r="F4" s="265"/>
      <c r="G4" s="265"/>
      <c r="H4" s="265"/>
      <c r="I4" s="265"/>
      <c r="J4" s="266"/>
      <c r="K4" s="361" t="s">
        <v>68</v>
      </c>
      <c r="L4" s="362"/>
      <c r="M4" s="312" t="s">
        <v>69</v>
      </c>
      <c r="N4" s="363"/>
      <c r="O4" s="310" t="s">
        <v>70</v>
      </c>
      <c r="P4" s="362"/>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row>
    <row r="5" spans="1:79" s="89" customFormat="1" ht="18.7" customHeight="1" x14ac:dyDescent="0.2">
      <c r="A5" s="36"/>
      <c r="B5" s="600" t="s">
        <v>435</v>
      </c>
      <c r="C5" s="214"/>
      <c r="D5" s="37" t="s">
        <v>119</v>
      </c>
      <c r="E5" s="219"/>
      <c r="F5" s="219"/>
      <c r="G5" s="219"/>
      <c r="H5" s="219"/>
      <c r="I5" s="219"/>
      <c r="J5" s="143" t="s">
        <v>72</v>
      </c>
      <c r="K5" s="358">
        <v>90</v>
      </c>
      <c r="L5" s="359"/>
      <c r="M5" s="311">
        <v>110</v>
      </c>
      <c r="N5" s="1687"/>
      <c r="O5" s="311">
        <v>130</v>
      </c>
      <c r="P5" s="359"/>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row>
    <row r="6" spans="1:79" s="89" customFormat="1" ht="14.95" customHeight="1" x14ac:dyDescent="0.2">
      <c r="A6" s="180"/>
      <c r="B6" s="471" t="s">
        <v>436</v>
      </c>
      <c r="C6" s="412"/>
      <c r="D6" s="573" t="s">
        <v>121</v>
      </c>
      <c r="E6" s="573"/>
      <c r="F6" s="575" t="s">
        <v>437</v>
      </c>
      <c r="G6" s="413"/>
      <c r="H6" s="579" t="s">
        <v>414</v>
      </c>
      <c r="I6" s="293"/>
      <c r="J6" s="571" t="s">
        <v>487</v>
      </c>
      <c r="K6" s="577">
        <v>10</v>
      </c>
      <c r="L6" s="581"/>
      <c r="M6" s="577">
        <v>10</v>
      </c>
      <c r="N6" s="581"/>
      <c r="O6" s="577">
        <v>10</v>
      </c>
      <c r="P6" s="581"/>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row>
    <row r="7" spans="1:79" s="89" customFormat="1" ht="14.95" customHeight="1" x14ac:dyDescent="0.2">
      <c r="A7" s="601"/>
      <c r="B7" s="702"/>
      <c r="C7" s="412"/>
      <c r="D7" s="573" t="s">
        <v>123</v>
      </c>
      <c r="E7" s="573"/>
      <c r="F7" s="575" t="s">
        <v>124</v>
      </c>
      <c r="G7" s="413"/>
      <c r="H7" s="579" t="s">
        <v>126</v>
      </c>
      <c r="I7" s="293"/>
      <c r="J7" s="571" t="s">
        <v>487</v>
      </c>
      <c r="K7" s="577">
        <v>16</v>
      </c>
      <c r="L7" s="581">
        <v>16</v>
      </c>
      <c r="M7" s="577">
        <v>16</v>
      </c>
      <c r="N7" s="581">
        <v>16</v>
      </c>
      <c r="O7" s="577">
        <v>16</v>
      </c>
      <c r="P7" s="581">
        <v>16</v>
      </c>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row>
    <row r="8" spans="1:79" s="89" customFormat="1" ht="14.95" customHeight="1" x14ac:dyDescent="0.2">
      <c r="A8" s="307"/>
      <c r="B8" s="699"/>
      <c r="C8" s="214"/>
      <c r="D8" s="574"/>
      <c r="E8" s="574"/>
      <c r="F8" s="576"/>
      <c r="G8" s="215"/>
      <c r="H8" s="580"/>
      <c r="I8" s="36"/>
      <c r="J8" s="572"/>
      <c r="K8" s="703"/>
      <c r="L8" s="704"/>
      <c r="M8" s="703"/>
      <c r="N8" s="704"/>
      <c r="O8" s="703"/>
      <c r="P8" s="704"/>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row>
    <row r="9" spans="1:79" s="89" customFormat="1" ht="15.8" customHeight="1" x14ac:dyDescent="0.2">
      <c r="A9" s="180"/>
      <c r="B9" s="184"/>
      <c r="C9" s="412"/>
      <c r="D9" s="421" t="s">
        <v>415</v>
      </c>
      <c r="E9" s="293"/>
      <c r="F9" s="421"/>
      <c r="G9" s="293"/>
      <c r="H9" s="593" t="s">
        <v>416</v>
      </c>
      <c r="I9" s="594" t="s">
        <v>417</v>
      </c>
      <c r="J9" s="83" t="s">
        <v>418</v>
      </c>
      <c r="K9" s="595">
        <f>K5*(100-K6)/100</f>
        <v>81</v>
      </c>
      <c r="L9" s="596">
        <f>IF(K7=0,0,K9/K7*100)</f>
        <v>506.25</v>
      </c>
      <c r="M9" s="673">
        <f>M5*(100-M6)/100</f>
        <v>99</v>
      </c>
      <c r="N9" s="674">
        <f>IF(M7=0,0,M9/M7*100)</f>
        <v>618.75</v>
      </c>
      <c r="O9" s="595">
        <f>O5*(100-O6)/100</f>
        <v>117</v>
      </c>
      <c r="P9" s="596">
        <f>IF(O7=0,0,O9/O7*100)</f>
        <v>731.25</v>
      </c>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row>
    <row r="10" spans="1:79" s="89" customFormat="1" ht="14.95" customHeight="1" x14ac:dyDescent="0.2">
      <c r="A10" s="307"/>
      <c r="B10" s="308"/>
      <c r="C10" s="214"/>
      <c r="D10" s="94"/>
      <c r="E10" s="53"/>
      <c r="F10" s="219"/>
      <c r="G10" s="219"/>
      <c r="H10" s="36"/>
      <c r="I10" s="509"/>
      <c r="J10" s="300"/>
      <c r="K10" s="164"/>
      <c r="L10" s="597"/>
      <c r="M10" s="236"/>
      <c r="N10" s="675"/>
      <c r="O10" s="164"/>
      <c r="P10" s="597"/>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row>
    <row r="11" spans="1:79" s="89" customFormat="1" ht="15.8" customHeight="1" x14ac:dyDescent="0.2">
      <c r="A11" s="180"/>
      <c r="B11" s="184"/>
      <c r="C11" s="211"/>
      <c r="D11" s="199" t="s">
        <v>419</v>
      </c>
      <c r="E11" s="163"/>
      <c r="F11" s="163"/>
      <c r="G11" s="163"/>
      <c r="H11" s="589" t="s">
        <v>416</v>
      </c>
      <c r="I11" s="591" t="s">
        <v>417</v>
      </c>
      <c r="J11" s="299" t="s">
        <v>418</v>
      </c>
      <c r="K11" s="583">
        <f>K9*(100-L6)/100</f>
        <v>81</v>
      </c>
      <c r="L11" s="584">
        <f>IF(L7=0,0,K11/L7*100)</f>
        <v>506.25</v>
      </c>
      <c r="M11" s="676">
        <f>M9*(100-N6)/100</f>
        <v>99</v>
      </c>
      <c r="N11" s="677">
        <f>IF(N7=0,0,M11/N7*100)</f>
        <v>618.75</v>
      </c>
      <c r="O11" s="583">
        <f>O9*(100-P6)/100</f>
        <v>117</v>
      </c>
      <c r="P11" s="584">
        <f>IF(P7=0,0,O11/P7*100)</f>
        <v>731.25</v>
      </c>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row>
    <row r="12" spans="1:79" s="89" customFormat="1" ht="15.8" customHeight="1" x14ac:dyDescent="0.2">
      <c r="A12" s="180"/>
      <c r="B12" s="184"/>
      <c r="C12" s="412"/>
      <c r="D12" s="421"/>
      <c r="E12" s="293"/>
      <c r="F12" s="293"/>
      <c r="G12" s="293"/>
      <c r="H12" s="590"/>
      <c r="I12" s="592"/>
      <c r="J12" s="83" t="s">
        <v>378</v>
      </c>
      <c r="K12" s="414"/>
      <c r="L12" s="422">
        <f>IF(L8=0,0,1/L8*L11)</f>
        <v>0</v>
      </c>
      <c r="M12" s="666"/>
      <c r="N12" s="678">
        <f>IF(N8=0,0,1/N8*N11)</f>
        <v>0</v>
      </c>
      <c r="O12" s="414"/>
      <c r="P12" s="422">
        <f>IF(P8=0,0,1/P8*P11)</f>
        <v>0</v>
      </c>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row>
    <row r="13" spans="1:79" s="89" customFormat="1" ht="14.95" customHeight="1" x14ac:dyDescent="0.2">
      <c r="A13" s="180"/>
      <c r="B13" s="184"/>
      <c r="C13" s="211"/>
      <c r="D13" s="199" t="s">
        <v>132</v>
      </c>
      <c r="E13"/>
      <c r="F13"/>
      <c r="G13" s="252"/>
      <c r="H13" s="299" t="s">
        <v>420</v>
      </c>
      <c r="I13" s="466"/>
      <c r="J13" s="193"/>
      <c r="K13" s="419">
        <v>6.3</v>
      </c>
      <c r="L13" s="360"/>
      <c r="M13" s="419">
        <v>6.3</v>
      </c>
      <c r="N13" s="649"/>
      <c r="O13" s="419">
        <v>6.3</v>
      </c>
      <c r="P13" s="360"/>
      <c r="Q13" s="433"/>
      <c r="R13" s="433"/>
      <c r="S13" s="433"/>
      <c r="T13" s="433"/>
      <c r="U13" s="433"/>
      <c r="V13" s="433"/>
      <c r="W13" s="433"/>
      <c r="X13" s="433"/>
      <c r="Y13" s="433"/>
      <c r="Z13" s="433"/>
      <c r="AA13" s="2041"/>
      <c r="AB13" s="2041"/>
      <c r="AC13" s="1908" t="s">
        <v>237</v>
      </c>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row>
    <row r="14" spans="1:79" s="89" customFormat="1" ht="14.95" customHeight="1" x14ac:dyDescent="0.2">
      <c r="A14" s="180"/>
      <c r="B14" s="184"/>
      <c r="C14" s="211"/>
      <c r="D14"/>
      <c r="E14"/>
      <c r="F14" s="425" t="s">
        <v>134</v>
      </c>
      <c r="G14" s="427">
        <v>0.6</v>
      </c>
      <c r="H14" s="299" t="s">
        <v>421</v>
      </c>
      <c r="I14"/>
      <c r="J14" s="193"/>
      <c r="K14" s="426">
        <f>K13/$G14</f>
        <v>10.5</v>
      </c>
      <c r="L14" s="360"/>
      <c r="M14" s="679">
        <f>M13/$G14</f>
        <v>10.5</v>
      </c>
      <c r="N14" s="649"/>
      <c r="O14" s="426">
        <f>O13/$G14</f>
        <v>10.5</v>
      </c>
      <c r="P14" s="360"/>
      <c r="Q14" s="433"/>
      <c r="R14" s="433"/>
      <c r="S14" s="433"/>
      <c r="T14" s="433"/>
      <c r="U14" s="433"/>
      <c r="V14" s="433"/>
      <c r="W14" s="433"/>
      <c r="X14" s="433"/>
      <c r="Y14" s="433"/>
      <c r="Z14" s="433"/>
      <c r="AA14" s="1908" t="s">
        <v>238</v>
      </c>
      <c r="AB14" s="2041"/>
      <c r="AC14" s="2042">
        <v>0.3</v>
      </c>
      <c r="AD14" s="433"/>
      <c r="AE14" s="433"/>
      <c r="AF14" s="433"/>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row>
    <row r="15" spans="1:79" s="89" customFormat="1" ht="16.5" customHeight="1" x14ac:dyDescent="0.2">
      <c r="A15" s="180"/>
      <c r="B15" s="184"/>
      <c r="C15" s="211"/>
      <c r="D15" s="48"/>
      <c r="E15" s="212"/>
      <c r="F15" s="212"/>
      <c r="G15"/>
      <c r="H15" s="299" t="s">
        <v>422</v>
      </c>
      <c r="I15"/>
      <c r="J15" s="299"/>
      <c r="K15" s="417">
        <f>K$11*K13*10</f>
        <v>5103</v>
      </c>
      <c r="L15" s="360"/>
      <c r="M15" s="680">
        <f>M$11*M13*10</f>
        <v>6236.9999999999991</v>
      </c>
      <c r="N15" s="649"/>
      <c r="O15" s="417">
        <f>O$11*O13*10</f>
        <v>7371</v>
      </c>
      <c r="P15" s="360"/>
      <c r="Q15" s="433"/>
      <c r="R15" s="433"/>
      <c r="S15" s="433"/>
      <c r="T15" s="433"/>
      <c r="U15" s="433"/>
      <c r="V15" s="433"/>
      <c r="W15" s="433"/>
      <c r="X15" s="433"/>
      <c r="Y15" s="433"/>
      <c r="Z15" s="433"/>
      <c r="AA15" s="1909" t="s">
        <v>239</v>
      </c>
      <c r="AB15" s="2043"/>
      <c r="AC15" s="2044">
        <v>0</v>
      </c>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row>
    <row r="16" spans="1:79" s="89" customFormat="1" ht="16.5" customHeight="1" x14ac:dyDescent="0.2">
      <c r="A16" s="307"/>
      <c r="B16" s="308"/>
      <c r="C16" s="214"/>
      <c r="D16" s="217"/>
      <c r="E16" s="215"/>
      <c r="F16" s="215"/>
      <c r="G16" s="253"/>
      <c r="H16" s="305" t="s">
        <v>423</v>
      </c>
      <c r="I16" s="305"/>
      <c r="J16" s="300"/>
      <c r="K16" s="418">
        <f>K$11*K14*10</f>
        <v>8505</v>
      </c>
      <c r="L16" s="359"/>
      <c r="M16" s="681">
        <f>M$11*M14*10</f>
        <v>10395</v>
      </c>
      <c r="N16" s="370"/>
      <c r="O16" s="418">
        <f>O$11*O14*10</f>
        <v>12285</v>
      </c>
      <c r="P16" s="359"/>
      <c r="Q16" s="433"/>
      <c r="R16" s="433"/>
      <c r="S16" s="433"/>
      <c r="T16" s="433"/>
      <c r="U16" s="465"/>
      <c r="V16" s="433"/>
      <c r="W16" s="433"/>
      <c r="X16" s="433"/>
      <c r="Y16" s="433"/>
      <c r="Z16" s="433"/>
      <c r="AA16" s="1909" t="s">
        <v>240</v>
      </c>
      <c r="AB16" s="2041"/>
      <c r="AC16" s="2044">
        <v>0</v>
      </c>
      <c r="AD16" s="433"/>
      <c r="AE16" s="433"/>
      <c r="AF16" s="433"/>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row>
    <row r="17" spans="1:79" s="89" customFormat="1" ht="16.5" customHeight="1" x14ac:dyDescent="0.2">
      <c r="A17" s="1912"/>
      <c r="B17" s="1913"/>
      <c r="C17" s="213"/>
      <c r="D17" s="2023"/>
      <c r="E17" s="1633"/>
      <c r="F17" s="1633"/>
      <c r="G17" s="2024"/>
      <c r="H17" s="2025"/>
      <c r="I17" s="2025"/>
      <c r="J17" s="1914" t="str">
        <f>"anrechenbarer Nährstoffwert bei Gülledüngung zu "&amp;K17*100&amp;"%"</f>
        <v>anrechenbarer Nährstoffwert bei Gülledüngung zu 0%</v>
      </c>
      <c r="K17" s="2103">
        <v>0</v>
      </c>
      <c r="L17" s="2029">
        <f>K17*(L33*(1-$AC$14)+L34*(1-$AC$15)+L35*(1-$AC$16)+L36*(1-$AC$17))</f>
        <v>0</v>
      </c>
      <c r="M17" s="2026">
        <f>K17</f>
        <v>0</v>
      </c>
      <c r="N17" s="2030">
        <f>M17*(N33*(1-$AC$14)+N34*(1-$AC$15)+N35*(1-$AC$16)+N36*(1-$AC$17))</f>
        <v>0</v>
      </c>
      <c r="O17" s="2027">
        <f>K17</f>
        <v>0</v>
      </c>
      <c r="P17" s="2029">
        <f>O17*(P33*(1-$AC$14)+P34*(1-$AC$15)+P35*(1-$AC$16)+P36*(1-$AC$17))</f>
        <v>0</v>
      </c>
      <c r="Q17" s="433"/>
      <c r="R17" s="433"/>
      <c r="S17" s="433"/>
      <c r="T17" s="433"/>
      <c r="U17" s="465"/>
      <c r="V17" s="433"/>
      <c r="W17" s="433"/>
      <c r="X17" s="433"/>
      <c r="Y17" s="433"/>
      <c r="Z17" s="433"/>
      <c r="AA17" s="1909" t="s">
        <v>241</v>
      </c>
      <c r="AB17" s="970"/>
      <c r="AC17" s="2044">
        <v>0</v>
      </c>
      <c r="AD17" s="433"/>
      <c r="AE17" s="433"/>
      <c r="AF17" s="433"/>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row>
    <row r="18" spans="1:79" s="44" customFormat="1" ht="16.5" customHeight="1" x14ac:dyDescent="0.2">
      <c r="A18" s="169"/>
      <c r="B18" s="172" t="s">
        <v>138</v>
      </c>
      <c r="C18" s="92"/>
      <c r="D18" s="54" t="s">
        <v>506</v>
      </c>
      <c r="E18" s="54"/>
      <c r="F18" s="54"/>
      <c r="G18" s="54"/>
      <c r="H18" s="54"/>
      <c r="I18" s="54"/>
      <c r="J18" s="304" t="s">
        <v>154</v>
      </c>
      <c r="K18" s="268"/>
      <c r="L18" s="1910">
        <f>SUM(L19:L23)</f>
        <v>310</v>
      </c>
      <c r="M18" s="650"/>
      <c r="N18" s="1911">
        <f>SUM(N19:N23)</f>
        <v>310</v>
      </c>
      <c r="O18" s="268"/>
      <c r="P18" s="1910">
        <f>SUM(P19:P23)</f>
        <v>310</v>
      </c>
      <c r="Q18" s="435"/>
      <c r="R18" s="466"/>
      <c r="S18" s="435"/>
      <c r="T18" s="435"/>
      <c r="U18" s="467"/>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row>
    <row r="19" spans="1:79" s="50" customFormat="1" ht="15.8" customHeight="1" x14ac:dyDescent="0.2">
      <c r="A19" s="185" t="s">
        <v>282</v>
      </c>
      <c r="B19" s="174">
        <v>1</v>
      </c>
      <c r="C19" s="51"/>
      <c r="D19" s="79" t="str">
        <f>IF($B19=0,0,VLOOKUP($B19,Prämien!$C$8:$M$45,2))</f>
        <v>FAKT(D 2.2) Öko Acker/ GL Beibehaltung</v>
      </c>
      <c r="E19" s="49"/>
      <c r="F19" s="49"/>
      <c r="G19" s="49"/>
      <c r="H19" s="79">
        <f>IF($B19=0,0,VLOOKUP($B19,Prämien!$C$8:$M$45,11))</f>
        <v>230</v>
      </c>
      <c r="I19" s="79"/>
      <c r="J19"/>
      <c r="K19" s="269"/>
      <c r="L19" s="191">
        <f>IF(R19=TRUE,$H19,0)</f>
        <v>230</v>
      </c>
      <c r="M19" s="652"/>
      <c r="N19" s="672">
        <f>IF(U19=TRUE,$H19,0)</f>
        <v>230</v>
      </c>
      <c r="O19" s="269"/>
      <c r="P19" s="192">
        <f>IF(X19=TRUE,$H19,0)</f>
        <v>230</v>
      </c>
      <c r="Q19" s="436"/>
      <c r="R19" s="468" t="b">
        <v>1</v>
      </c>
      <c r="S19" s="436"/>
      <c r="T19" s="436"/>
      <c r="U19" s="468" t="b">
        <v>1</v>
      </c>
      <c r="V19" s="436"/>
      <c r="W19" s="436"/>
      <c r="X19" s="468" t="b">
        <v>1</v>
      </c>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row>
    <row r="20" spans="1:79" s="50" customFormat="1" ht="15.8" customHeight="1" x14ac:dyDescent="0.2">
      <c r="A20" s="185" t="s">
        <v>282</v>
      </c>
      <c r="B20" s="174">
        <v>4</v>
      </c>
      <c r="C20" s="51"/>
      <c r="D20" s="79" t="str">
        <f>IF($B20=0,0,VLOOKUP($B20,Prämien!$C$8:$M$45,2))</f>
        <v>FAKT (A2) Silageverzicht im gesamten Betrieb (Heumilch) ʘ</v>
      </c>
      <c r="E20" s="49"/>
      <c r="F20" s="49"/>
      <c r="G20" s="49"/>
      <c r="H20" s="79">
        <f>IF($B20=0,0,VLOOKUP($B20,Prämien!$C$8:$M$45,11))</f>
        <v>80</v>
      </c>
      <c r="I20" s="79"/>
      <c r="J20"/>
      <c r="K20" s="269"/>
      <c r="L20" s="191">
        <f>IF(R20=TRUE,$H20,0)</f>
        <v>80</v>
      </c>
      <c r="M20" s="652"/>
      <c r="N20" s="672">
        <f>IF(U20=TRUE,$H20,0)</f>
        <v>80</v>
      </c>
      <c r="O20" s="269"/>
      <c r="P20" s="192">
        <f>IF(X20=TRUE,$H20,0)</f>
        <v>80</v>
      </c>
      <c r="Q20" s="436"/>
      <c r="R20" s="468" t="b">
        <v>1</v>
      </c>
      <c r="S20" s="436"/>
      <c r="T20" s="436"/>
      <c r="U20" s="468" t="b">
        <v>1</v>
      </c>
      <c r="V20" s="436"/>
      <c r="W20" s="436"/>
      <c r="X20" s="468" t="b">
        <v>1</v>
      </c>
      <c r="Y20" s="436"/>
      <c r="Z20" s="436"/>
      <c r="AA20" s="436"/>
      <c r="AB20" s="436"/>
      <c r="AC20" s="436"/>
      <c r="AD20" s="436"/>
      <c r="AE20" s="436"/>
      <c r="AF20" s="436"/>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row>
    <row r="21" spans="1:79" s="50" customFormat="1" ht="15.8" customHeight="1" x14ac:dyDescent="0.2">
      <c r="A21" s="185" t="s">
        <v>282</v>
      </c>
      <c r="B21" s="174"/>
      <c r="C21" s="51"/>
      <c r="D21" s="79">
        <f>IF($B21=0,0,VLOOKUP($B21,Prämien!$C$8:$M$45,2))</f>
        <v>0</v>
      </c>
      <c r="E21" s="49"/>
      <c r="F21" s="49"/>
      <c r="G21" s="49"/>
      <c r="H21" s="79">
        <f>IF($B21=0,0,VLOOKUP($B21,Prämien!$C$8:$M$45,11))</f>
        <v>0</v>
      </c>
      <c r="I21" s="79"/>
      <c r="J21"/>
      <c r="K21" s="269"/>
      <c r="L21" s="191">
        <f>IF(R21=TRUE,$H21,0)</f>
        <v>0</v>
      </c>
      <c r="M21" s="652"/>
      <c r="N21" s="672">
        <f>IF(U21=TRUE,$H21,0)</f>
        <v>0</v>
      </c>
      <c r="O21" s="269"/>
      <c r="P21" s="192">
        <f>IF(X21=TRUE,$H21,0)</f>
        <v>0</v>
      </c>
      <c r="Q21" s="436"/>
      <c r="R21" s="468" t="b">
        <v>0</v>
      </c>
      <c r="S21" s="436"/>
      <c r="T21" s="436"/>
      <c r="U21" s="468" t="b">
        <v>0</v>
      </c>
      <c r="V21" s="436"/>
      <c r="W21" s="436"/>
      <c r="X21" s="468" t="b">
        <v>0</v>
      </c>
      <c r="Y21" s="436"/>
      <c r="Z21" s="436"/>
      <c r="AA21" s="436"/>
      <c r="AB21" s="436"/>
      <c r="AC21" s="436"/>
      <c r="AD21" s="436"/>
      <c r="AE21" s="436"/>
      <c r="AF21" s="436"/>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row>
    <row r="22" spans="1:79" s="50" customFormat="1" ht="15.8" customHeight="1" x14ac:dyDescent="0.2">
      <c r="A22" s="185" t="s">
        <v>282</v>
      </c>
      <c r="B22" s="174"/>
      <c r="C22" s="51"/>
      <c r="D22" s="79">
        <f>IF($B22=0,0,VLOOKUP($B22,Prämien!$C$8:$M$45,2))</f>
        <v>0</v>
      </c>
      <c r="E22" s="49"/>
      <c r="F22" s="49"/>
      <c r="G22" s="49"/>
      <c r="H22" s="79">
        <f>IF($B22=0,0,VLOOKUP($B22,Prämien!$C$8:$M$45,11))</f>
        <v>0</v>
      </c>
      <c r="I22" s="79"/>
      <c r="J22"/>
      <c r="K22" s="269"/>
      <c r="L22" s="191">
        <f>IF(R22=TRUE,$H22,0)</f>
        <v>0</v>
      </c>
      <c r="M22" s="652"/>
      <c r="N22" s="672">
        <f>IF(U22=TRUE,$H22,0)</f>
        <v>0</v>
      </c>
      <c r="O22" s="269"/>
      <c r="P22" s="192">
        <f>IF(X22=TRUE,$H22,0)</f>
        <v>0</v>
      </c>
      <c r="Q22" s="436"/>
      <c r="R22" s="468" t="b">
        <v>0</v>
      </c>
      <c r="S22" s="436"/>
      <c r="T22" s="436"/>
      <c r="U22" s="468" t="b">
        <v>0</v>
      </c>
      <c r="V22" s="436"/>
      <c r="W22" s="436"/>
      <c r="X22" s="468" t="b">
        <v>0</v>
      </c>
      <c r="Y22" s="436"/>
      <c r="Z22" s="436"/>
      <c r="AA22" s="436"/>
      <c r="AB22" s="436"/>
      <c r="AC22" s="436"/>
      <c r="AD22" s="436"/>
      <c r="AE22" s="436"/>
      <c r="AF22" s="436"/>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row>
    <row r="23" spans="1:79" s="50" customFormat="1" ht="15.8" customHeight="1" x14ac:dyDescent="0.2">
      <c r="A23" s="188" t="s">
        <v>282</v>
      </c>
      <c r="B23" s="189"/>
      <c r="C23" s="52"/>
      <c r="D23" s="190">
        <f>IF($B23=0,0,VLOOKUP($B23,Prämien!$C$8:$M$45,2))</f>
        <v>0</v>
      </c>
      <c r="E23" s="53"/>
      <c r="F23" s="53"/>
      <c r="G23" s="53"/>
      <c r="H23" s="190">
        <f>IF($B23=0,0,VLOOKUP($B23,Prämien!$C$8:$M$45,11))</f>
        <v>0</v>
      </c>
      <c r="I23" s="190"/>
      <c r="J23" s="251"/>
      <c r="K23" s="270"/>
      <c r="L23" s="191">
        <f>IF(R23=TRUE,$H23,0)</f>
        <v>0</v>
      </c>
      <c r="M23" s="653"/>
      <c r="N23" s="672">
        <f>IF(U23=TRUE,$H23,0)</f>
        <v>0</v>
      </c>
      <c r="O23" s="270"/>
      <c r="P23" s="192">
        <f>IF(X23=TRUE,$H23,0)</f>
        <v>0</v>
      </c>
      <c r="Q23" s="436"/>
      <c r="R23" s="468" t="b">
        <v>0</v>
      </c>
      <c r="S23" s="436"/>
      <c r="T23" s="436"/>
      <c r="U23" s="468" t="b">
        <v>0</v>
      </c>
      <c r="V23" s="468"/>
      <c r="W23" s="436"/>
      <c r="X23" s="468" t="b">
        <v>0</v>
      </c>
      <c r="Y23" s="436"/>
      <c r="Z23" s="436"/>
      <c r="AA23" s="436"/>
      <c r="AB23" s="436"/>
      <c r="AC23" s="436"/>
      <c r="AD23" s="436"/>
      <c r="AE23" s="436"/>
      <c r="AF23" s="436"/>
      <c r="AG23" s="436"/>
      <c r="AH23" s="436"/>
      <c r="AI23" s="436"/>
      <c r="AJ23" s="436"/>
      <c r="AK23" s="436"/>
      <c r="AL23" s="436"/>
      <c r="AM23" s="436"/>
      <c r="AN23" s="436"/>
      <c r="AO23" s="436"/>
      <c r="AP23" s="436"/>
      <c r="AQ23" s="436"/>
      <c r="AR23" s="436"/>
      <c r="AS23" s="436"/>
      <c r="AT23" s="436"/>
      <c r="AU23" s="436"/>
      <c r="AV23" s="436"/>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row>
    <row r="24" spans="1:79" s="96" customFormat="1" ht="16.5" customHeight="1" x14ac:dyDescent="0.2">
      <c r="A24" s="173"/>
      <c r="B24" s="172" t="s">
        <v>138</v>
      </c>
      <c r="C24" s="92"/>
      <c r="D24" s="54" t="s">
        <v>177</v>
      </c>
      <c r="E24" s="54"/>
      <c r="F24" s="54"/>
      <c r="G24" s="54"/>
      <c r="H24" s="54"/>
      <c r="I24" s="54"/>
      <c r="J24" s="299" t="s">
        <v>154</v>
      </c>
      <c r="K24" s="268"/>
      <c r="L24" s="267">
        <f>SUM(L25:L26)</f>
        <v>270</v>
      </c>
      <c r="M24" s="650"/>
      <c r="N24" s="651">
        <f>SUM(N25:N26)</f>
        <v>270</v>
      </c>
      <c r="O24" s="268"/>
      <c r="P24" s="267">
        <f>SUM(P25:P26)</f>
        <v>270</v>
      </c>
      <c r="Q24" s="437"/>
      <c r="R24" s="437"/>
      <c r="S24" s="437"/>
      <c r="T24" s="437"/>
      <c r="U24" s="469"/>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row>
    <row r="25" spans="1:79" s="96" customFormat="1" ht="16.5" customHeight="1" x14ac:dyDescent="0.2">
      <c r="A25" s="1544" t="s">
        <v>282</v>
      </c>
      <c r="B25" s="174">
        <v>1</v>
      </c>
      <c r="C25" s="51"/>
      <c r="D25" s="79" t="str">
        <f>IF($B25=0,0,VLOOKUP($B25,Prämien!$P$8:$Y$11,2))</f>
        <v>Zahlungsanspruch Ø</v>
      </c>
      <c r="E25" s="49"/>
      <c r="F25" s="49"/>
      <c r="G25" s="163"/>
      <c r="H25" s="49"/>
      <c r="I25" s="49"/>
      <c r="J25" s="90"/>
      <c r="K25" s="269"/>
      <c r="L25" s="192">
        <f>IF($B25=0,0,VLOOKUP($B25,Prämien!$P$8:$Y$11,10))</f>
        <v>270</v>
      </c>
      <c r="M25" s="652"/>
      <c r="N25" s="1433">
        <f>IF($B25=0,0,VLOOKUP($B25,Prämien!$P$8:$Y$11,10))</f>
        <v>270</v>
      </c>
      <c r="O25" s="269"/>
      <c r="P25" s="192">
        <f>IF($B25=0,0,VLOOKUP($B25,Prämien!$P$8:$Y$11,10))</f>
        <v>270</v>
      </c>
      <c r="Q25" s="437"/>
      <c r="R25" s="437"/>
      <c r="S25" s="437"/>
      <c r="T25" s="437"/>
      <c r="U25" s="469"/>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row>
    <row r="26" spans="1:79" s="50" customFormat="1" ht="14.95" customHeight="1" x14ac:dyDescent="0.2">
      <c r="A26" s="188" t="s">
        <v>282</v>
      </c>
      <c r="B26" s="189"/>
      <c r="C26" s="52"/>
      <c r="D26" s="190">
        <f>IF($B26=0,0,VLOOKUP($B26,Prämien!$P$8:$Y$11,2))</f>
        <v>0</v>
      </c>
      <c r="E26" s="53"/>
      <c r="F26" s="53"/>
      <c r="G26" s="36"/>
      <c r="H26" s="53"/>
      <c r="I26" s="53"/>
      <c r="J26" s="91"/>
      <c r="K26" s="270"/>
      <c r="L26" s="271">
        <f>IF($B26=0,0,VLOOKUP($B26,Prämien!$P$8:$Y$11,10))</f>
        <v>0</v>
      </c>
      <c r="M26" s="653"/>
      <c r="N26" s="667">
        <f>IF($B26=0,0,VLOOKUP($B26,Prämien!$P$8:$Y$11,10))</f>
        <v>0</v>
      </c>
      <c r="O26" s="270"/>
      <c r="P26" s="271">
        <f>IF($B26=0,0,VLOOKUP($B26,Prämien!$P$8:$Y$11,10))</f>
        <v>0</v>
      </c>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row>
    <row r="27" spans="1:79" ht="16.5" customHeight="1" x14ac:dyDescent="0.2">
      <c r="A27" s="166"/>
      <c r="B27" s="97"/>
      <c r="C27" s="2"/>
      <c r="D27" s="54" t="s">
        <v>424</v>
      </c>
      <c r="E27" s="3"/>
      <c r="F27"/>
      <c r="G27" s="562" t="s">
        <v>140</v>
      </c>
      <c r="H27" s="563">
        <f>Preise!$M$9</f>
        <v>7</v>
      </c>
      <c r="I27" s="3"/>
      <c r="J27" s="299" t="s">
        <v>154</v>
      </c>
      <c r="K27" s="272"/>
      <c r="L27" s="267">
        <f>SUM(L29:L30)</f>
        <v>52.964999999999996</v>
      </c>
      <c r="M27" s="669"/>
      <c r="N27" s="651">
        <f>SUM(N29:N30)</f>
        <v>52.964999999999996</v>
      </c>
      <c r="O27" s="272"/>
      <c r="P27" s="267">
        <f>SUM(P29:P30)</f>
        <v>52.964999999999996</v>
      </c>
    </row>
    <row r="28" spans="1:79" ht="14.95" customHeight="1" x14ac:dyDescent="0.2">
      <c r="A28" s="166"/>
      <c r="B28" s="97"/>
      <c r="C28" s="99"/>
      <c r="D28" s="100"/>
      <c r="E28" s="101"/>
      <c r="F28" s="101"/>
      <c r="G28" s="585" t="s">
        <v>349</v>
      </c>
      <c r="H28" s="325" t="s">
        <v>152</v>
      </c>
      <c r="I28" s="564" t="s">
        <v>371</v>
      </c>
      <c r="J28" s="102"/>
      <c r="K28" s="273" t="s">
        <v>425</v>
      </c>
      <c r="L28" s="274" t="s">
        <v>154</v>
      </c>
      <c r="M28" s="682" t="s">
        <v>425</v>
      </c>
      <c r="N28" s="659" t="s">
        <v>154</v>
      </c>
      <c r="O28" s="273" t="s">
        <v>425</v>
      </c>
      <c r="P28" s="274" t="s">
        <v>154</v>
      </c>
    </row>
    <row r="29" spans="1:79" s="50" customFormat="1" ht="14.95" customHeight="1" x14ac:dyDescent="0.2">
      <c r="A29" s="51"/>
      <c r="B29" s="170"/>
      <c r="C29" s="103"/>
      <c r="D29" s="104" t="s">
        <v>426</v>
      </c>
      <c r="E29" s="104"/>
      <c r="F29" s="104"/>
      <c r="G29" s="104"/>
      <c r="H29" s="333">
        <v>3.3</v>
      </c>
      <c r="I29" s="586">
        <f>H29*($H$27+100)/100</f>
        <v>3.5309999999999997</v>
      </c>
      <c r="J29" s="90"/>
      <c r="K29" s="382">
        <v>15</v>
      </c>
      <c r="L29" s="279">
        <f>$I29*K29</f>
        <v>52.964999999999996</v>
      </c>
      <c r="M29" s="382">
        <v>15</v>
      </c>
      <c r="N29" s="656">
        <f>$I29*M29</f>
        <v>52.964999999999996</v>
      </c>
      <c r="O29" s="382">
        <v>15</v>
      </c>
      <c r="P29" s="279">
        <f>$I29*O29</f>
        <v>52.964999999999996</v>
      </c>
      <c r="Q29" s="436"/>
      <c r="R29" s="436"/>
      <c r="S29" s="436"/>
      <c r="T29" s="436"/>
      <c r="U29" s="436"/>
      <c r="V29" s="436"/>
      <c r="W29" s="436"/>
      <c r="X29" s="436"/>
      <c r="Y29" s="436"/>
      <c r="Z29" s="436"/>
      <c r="AA29" s="436"/>
      <c r="AB29" s="436"/>
      <c r="AC29" s="436"/>
      <c r="AD29" s="436"/>
      <c r="AE29" s="436"/>
      <c r="AF29" s="436"/>
      <c r="AG29" s="436"/>
      <c r="AH29" s="436"/>
      <c r="AI29" s="436"/>
      <c r="AJ29" s="436"/>
      <c r="AK29" s="436"/>
      <c r="AL29" s="436"/>
      <c r="AM29" s="436"/>
      <c r="AN29" s="436"/>
      <c r="AO29" s="436"/>
      <c r="AP29" s="436"/>
      <c r="AQ29" s="436"/>
      <c r="AR29" s="436"/>
      <c r="AS29" s="436"/>
      <c r="AT29" s="436"/>
      <c r="AU29" s="436"/>
      <c r="AV29" s="436"/>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row>
    <row r="30" spans="1:79" s="50" customFormat="1" ht="14.95" customHeight="1" x14ac:dyDescent="0.2">
      <c r="A30" s="52"/>
      <c r="B30" s="93"/>
      <c r="C30" s="105"/>
      <c r="D30" s="106"/>
      <c r="E30" s="106"/>
      <c r="F30" s="106"/>
      <c r="G30" s="106"/>
      <c r="H30" s="334"/>
      <c r="I30" s="587">
        <f>H30*($H$27+100)/100</f>
        <v>0</v>
      </c>
      <c r="J30" s="91"/>
      <c r="K30" s="383"/>
      <c r="L30" s="275"/>
      <c r="M30" s="383"/>
      <c r="N30" s="657">
        <f>$I30*M30</f>
        <v>0</v>
      </c>
      <c r="O30" s="383"/>
      <c r="P30" s="275">
        <f>$I30*O30</f>
        <v>0</v>
      </c>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row>
    <row r="31" spans="1:79" s="96" customFormat="1" ht="16.5" customHeight="1" x14ac:dyDescent="0.2">
      <c r="A31" s="173"/>
      <c r="B31" s="175"/>
      <c r="C31" s="108" t="str">
        <f>"Düngung (abzgl."&amp;ROUND(K17*100,0)&amp; "%= "&amp;ROUND(L17,0)&amp;  "€ Güllerücklieferung)"</f>
        <v>Düngung (abzgl.0%= 0€ Güllerücklieferung)</v>
      </c>
      <c r="D31" s="109"/>
      <c r="E31" s="109"/>
      <c r="F31" s="98"/>
      <c r="G31" s="8"/>
      <c r="H31" s="8"/>
      <c r="I31" s="8"/>
      <c r="J31" s="301" t="s">
        <v>154</v>
      </c>
      <c r="K31" s="276"/>
      <c r="L31" s="2028">
        <f>SUM(L33:L36)-L17</f>
        <v>454.01474999999999</v>
      </c>
      <c r="M31" s="683"/>
      <c r="N31" s="651">
        <f>SUM(N33:N36)-N17</f>
        <v>729.44025000000011</v>
      </c>
      <c r="O31" s="276"/>
      <c r="P31" s="267">
        <f>SUM(P33:P36)-P17</f>
        <v>1004.8657499999999</v>
      </c>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row>
    <row r="32" spans="1:79" s="96" customFormat="1" ht="14.95" customHeight="1" x14ac:dyDescent="0.2">
      <c r="A32" s="173"/>
      <c r="B32" s="175"/>
      <c r="C32" s="324"/>
      <c r="D32" s="257" t="s">
        <v>143</v>
      </c>
      <c r="E32" s="153" t="s">
        <v>144</v>
      </c>
      <c r="F32" s="325"/>
      <c r="G32" s="329" t="s">
        <v>427</v>
      </c>
      <c r="H32" s="326" t="s">
        <v>440</v>
      </c>
      <c r="I32" s="297"/>
      <c r="J32" s="297"/>
      <c r="K32" s="273" t="s">
        <v>147</v>
      </c>
      <c r="L32" s="274" t="s">
        <v>154</v>
      </c>
      <c r="M32" s="682" t="s">
        <v>147</v>
      </c>
      <c r="N32" s="659" t="s">
        <v>154</v>
      </c>
      <c r="O32" s="273" t="s">
        <v>147</v>
      </c>
      <c r="P32" s="274" t="s">
        <v>154</v>
      </c>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row>
    <row r="33" spans="1:79" s="50" customFormat="1" ht="14.95" customHeight="1" x14ac:dyDescent="0.2">
      <c r="A33" s="51"/>
      <c r="B33" s="700" t="s">
        <v>436</v>
      </c>
      <c r="C33" s="103"/>
      <c r="D33" s="104" t="s">
        <v>206</v>
      </c>
      <c r="E33" s="330">
        <f>IF(Preise!$S$23=TRUE,Preise!M14,0)</f>
        <v>3.57</v>
      </c>
      <c r="F33"/>
      <c r="G33" s="320">
        <v>2.5</v>
      </c>
      <c r="H33" s="730">
        <v>-220</v>
      </c>
      <c r="I33" s="731"/>
      <c r="J33" s="163"/>
      <c r="K33" s="278">
        <f>$G$33*$K$5+$H$33</f>
        <v>5</v>
      </c>
      <c r="L33" s="279">
        <f>K33*$E33</f>
        <v>17.849999999999998</v>
      </c>
      <c r="M33" s="684">
        <f>$G$33*M5+$H$33</f>
        <v>55</v>
      </c>
      <c r="N33" s="656">
        <f>M33*$E33</f>
        <v>196.35</v>
      </c>
      <c r="O33" s="278">
        <f>$G$33*O5+$H$33</f>
        <v>105</v>
      </c>
      <c r="P33" s="279">
        <f>O33*$E33</f>
        <v>374.84999999999997</v>
      </c>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6"/>
      <c r="AN33" s="436"/>
      <c r="AO33" s="436"/>
      <c r="AP33" s="436"/>
      <c r="AQ33" s="436"/>
      <c r="AR33" s="436"/>
      <c r="AS33" s="436"/>
      <c r="AT33" s="436"/>
      <c r="AU33" s="436"/>
      <c r="AV33" s="436"/>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row>
    <row r="34" spans="1:79" s="50" customFormat="1" ht="14.95" customHeight="1" x14ac:dyDescent="0.2">
      <c r="A34" s="51"/>
      <c r="B34" s="170"/>
      <c r="C34" s="103"/>
      <c r="D34" s="104" t="s">
        <v>148</v>
      </c>
      <c r="E34" s="330">
        <f>IF(Preise!$S$23=TRUE,Preise!M15,0)</f>
        <v>2.5942000000000003</v>
      </c>
      <c r="F34"/>
      <c r="G34" s="320">
        <v>0.7</v>
      </c>
      <c r="H34" s="327"/>
      <c r="I34"/>
      <c r="J34" s="163"/>
      <c r="K34" s="278">
        <f>G34*$K$9+H34</f>
        <v>56.699999999999996</v>
      </c>
      <c r="L34" s="279">
        <f>K34*$E34</f>
        <v>147.09114</v>
      </c>
      <c r="M34" s="684">
        <f>G34*$M$9+H34</f>
        <v>69.3</v>
      </c>
      <c r="N34" s="656">
        <f>M34*$E34</f>
        <v>179.77806000000001</v>
      </c>
      <c r="O34" s="278">
        <f>G34*$O$9+H34</f>
        <v>81.899999999999991</v>
      </c>
      <c r="P34" s="279">
        <f>O34*$E34</f>
        <v>212.46498</v>
      </c>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6"/>
      <c r="AN34" s="436"/>
      <c r="AO34" s="436"/>
      <c r="AP34" s="436"/>
      <c r="AQ34" s="436"/>
      <c r="AR34" s="436"/>
      <c r="AS34" s="436"/>
      <c r="AT34" s="436"/>
      <c r="AU34" s="436"/>
      <c r="AV34" s="436"/>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row>
    <row r="35" spans="1:79" s="50" customFormat="1" ht="14.95" customHeight="1" x14ac:dyDescent="0.2">
      <c r="A35" s="51"/>
      <c r="B35" s="170"/>
      <c r="C35" s="103"/>
      <c r="D35" s="104" t="s">
        <v>149</v>
      </c>
      <c r="E35" s="330">
        <f>IF(Preise!$S$23=TRUE,Preise!M16,0)</f>
        <v>0.92820000000000003</v>
      </c>
      <c r="F35"/>
      <c r="G35" s="320">
        <v>3.1</v>
      </c>
      <c r="H35" s="327"/>
      <c r="I35"/>
      <c r="J35" s="163"/>
      <c r="K35" s="278">
        <f>G35*$K$9+H35</f>
        <v>251.1</v>
      </c>
      <c r="L35" s="279">
        <f>K35*$E35</f>
        <v>233.07102</v>
      </c>
      <c r="M35" s="684">
        <f>G35*$M$9+H35</f>
        <v>306.90000000000003</v>
      </c>
      <c r="N35" s="656">
        <f>M35*$E35</f>
        <v>284.86458000000005</v>
      </c>
      <c r="O35" s="278">
        <f>G35*$O$9+H35</f>
        <v>362.7</v>
      </c>
      <c r="P35" s="279">
        <f>O35*$E35</f>
        <v>336.65814</v>
      </c>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436"/>
      <c r="AQ35" s="436"/>
      <c r="AR35" s="436"/>
      <c r="AS35" s="436"/>
      <c r="AT35" s="436"/>
      <c r="AU35" s="436"/>
      <c r="AV35" s="436"/>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row>
    <row r="36" spans="1:79" s="50" customFormat="1" ht="14.95" customHeight="1" x14ac:dyDescent="0.2">
      <c r="A36" s="52"/>
      <c r="B36" s="93"/>
      <c r="C36" s="105"/>
      <c r="D36" s="106" t="s">
        <v>209</v>
      </c>
      <c r="E36" s="331">
        <f>IF(Preise!$S$23=TRUE,Preise!M17,0)</f>
        <v>1.9753999999999998</v>
      </c>
      <c r="F36" s="36"/>
      <c r="G36" s="321">
        <v>0.35</v>
      </c>
      <c r="H36" s="328"/>
      <c r="I36" s="36"/>
      <c r="J36" s="36"/>
      <c r="K36" s="280">
        <f>G36*$K$9+H36</f>
        <v>28.349999999999998</v>
      </c>
      <c r="L36" s="275">
        <f>K36*$E36</f>
        <v>56.002589999999991</v>
      </c>
      <c r="M36" s="685">
        <f>G36*$M$9+H36</f>
        <v>34.65</v>
      </c>
      <c r="N36" s="657">
        <f>M36*$E36</f>
        <v>68.447609999999997</v>
      </c>
      <c r="O36" s="280">
        <f>G36*$O$9+H36</f>
        <v>40.949999999999996</v>
      </c>
      <c r="P36" s="275">
        <f>O36*$E36</f>
        <v>80.892629999999983</v>
      </c>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6"/>
      <c r="AN36" s="436"/>
      <c r="AO36" s="436"/>
      <c r="AP36" s="436"/>
      <c r="AQ36" s="436"/>
      <c r="AR36" s="436"/>
      <c r="AS36" s="436"/>
      <c r="AT36" s="436"/>
      <c r="AU36" s="436"/>
      <c r="AV36" s="436"/>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row>
    <row r="37" spans="1:79" s="96" customFormat="1" ht="16.5" customHeight="1" x14ac:dyDescent="0.2">
      <c r="A37" s="173"/>
      <c r="B37" s="175"/>
      <c r="C37" s="116"/>
      <c r="D37" s="117" t="s">
        <v>150</v>
      </c>
      <c r="E37" s="117"/>
      <c r="F37" s="118"/>
      <c r="G37" s="562" t="s">
        <v>140</v>
      </c>
      <c r="H37" s="563">
        <f>Preise!$M$10</f>
        <v>19</v>
      </c>
      <c r="I37" s="98"/>
      <c r="J37" s="301" t="s">
        <v>154</v>
      </c>
      <c r="K37" s="281"/>
      <c r="L37" s="267">
        <f>SUM(L39:L41)</f>
        <v>0</v>
      </c>
      <c r="M37" s="658"/>
      <c r="N37" s="651">
        <f>SUM(N39:N41)</f>
        <v>0</v>
      </c>
      <c r="O37" s="281"/>
      <c r="P37" s="267">
        <f>SUM(P39:P41)</f>
        <v>0</v>
      </c>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row>
    <row r="38" spans="1:79" s="96" customFormat="1" ht="14.95" customHeight="1" x14ac:dyDescent="0.2">
      <c r="A38" s="173"/>
      <c r="B38" s="175"/>
      <c r="C38" s="119"/>
      <c r="D38" s="257" t="s">
        <v>151</v>
      </c>
      <c r="E38" s="120"/>
      <c r="F38" s="120"/>
      <c r="G38" s="585" t="s">
        <v>349</v>
      </c>
      <c r="H38" s="325" t="s">
        <v>152</v>
      </c>
      <c r="I38" s="564" t="s">
        <v>371</v>
      </c>
      <c r="J38" s="122"/>
      <c r="K38" s="366" t="s">
        <v>425</v>
      </c>
      <c r="L38" s="274" t="s">
        <v>154</v>
      </c>
      <c r="M38" s="686" t="s">
        <v>425</v>
      </c>
      <c r="N38" s="659" t="s">
        <v>154</v>
      </c>
      <c r="O38" s="366" t="s">
        <v>425</v>
      </c>
      <c r="P38" s="274" t="s">
        <v>154</v>
      </c>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row>
    <row r="39" spans="1:79" s="50" customFormat="1" ht="14.95" customHeight="1" x14ac:dyDescent="0.2">
      <c r="A39" s="51"/>
      <c r="B39" s="170"/>
      <c r="C39" s="103"/>
      <c r="D39" s="123"/>
      <c r="E39" s="124"/>
      <c r="F39" s="124"/>
      <c r="G39" s="124"/>
      <c r="H39" s="368"/>
      <c r="I39" s="368">
        <f>H39*($H$37+100)/100</f>
        <v>0</v>
      </c>
      <c r="J39" s="113"/>
      <c r="K39" s="156"/>
      <c r="L39" s="279">
        <f>$I39*K39</f>
        <v>0</v>
      </c>
      <c r="M39" s="156"/>
      <c r="N39" s="656">
        <f>$I39*M39</f>
        <v>0</v>
      </c>
      <c r="O39" s="156"/>
      <c r="P39" s="279">
        <f>$I39*O39</f>
        <v>0</v>
      </c>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row>
    <row r="40" spans="1:79" s="50" customFormat="1" ht="14.95" customHeight="1" x14ac:dyDescent="0.2">
      <c r="A40" s="51"/>
      <c r="B40" s="170"/>
      <c r="C40" s="103"/>
      <c r="D40" s="123"/>
      <c r="E40" s="124"/>
      <c r="F40" s="124"/>
      <c r="G40" s="124"/>
      <c r="H40" s="368"/>
      <c r="I40" s="368">
        <f>H40*($H$37+100)/100</f>
        <v>0</v>
      </c>
      <c r="J40" s="113"/>
      <c r="K40" s="156"/>
      <c r="L40" s="279">
        <f>$I40*K40</f>
        <v>0</v>
      </c>
      <c r="M40" s="156"/>
      <c r="N40" s="656">
        <f>$I40*M40</f>
        <v>0</v>
      </c>
      <c r="O40" s="156"/>
      <c r="P40" s="279">
        <f>$I40*O40</f>
        <v>0</v>
      </c>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row>
    <row r="41" spans="1:79" s="50" customFormat="1" ht="14.95" customHeight="1" x14ac:dyDescent="0.2">
      <c r="A41" s="52"/>
      <c r="B41" s="93"/>
      <c r="C41" s="105"/>
      <c r="D41" s="125"/>
      <c r="E41" s="126"/>
      <c r="F41" s="126"/>
      <c r="G41" s="126"/>
      <c r="H41" s="369"/>
      <c r="I41" s="369">
        <f>H41*($H$37+100)/100</f>
        <v>0</v>
      </c>
      <c r="J41" s="94"/>
      <c r="K41" s="157"/>
      <c r="L41" s="275">
        <f>$I41*K41</f>
        <v>0</v>
      </c>
      <c r="M41" s="157"/>
      <c r="N41" s="657">
        <f>$I41*M41</f>
        <v>0</v>
      </c>
      <c r="O41" s="157"/>
      <c r="P41" s="275">
        <f>$I41*O41</f>
        <v>0</v>
      </c>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row>
    <row r="42" spans="1:79" s="96" customFormat="1" ht="16.5" customHeight="1" x14ac:dyDescent="0.2">
      <c r="A42" s="173"/>
      <c r="B42" s="171"/>
      <c r="C42" s="116"/>
      <c r="D42" s="117" t="s">
        <v>441</v>
      </c>
      <c r="E42" s="117"/>
      <c r="F42" s="117"/>
      <c r="G42" s="8"/>
      <c r="H42" s="117"/>
      <c r="I42" s="117"/>
      <c r="J42" s="302" t="s">
        <v>154</v>
      </c>
      <c r="K42" s="367"/>
      <c r="L42" s="267" t="e">
        <f>SUM(T45:T55)</f>
        <v>#N/A</v>
      </c>
      <c r="M42" s="687"/>
      <c r="N42" s="651" t="e">
        <f>SUM(W45:W55)</f>
        <v>#N/A</v>
      </c>
      <c r="O42" s="367"/>
      <c r="P42" s="267" t="e">
        <f>SUM(Z45:Z55)</f>
        <v>#N/A</v>
      </c>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row>
    <row r="43" spans="1:79" s="50" customFormat="1" ht="14.95" customHeight="1" x14ac:dyDescent="0.2">
      <c r="A43" s="51"/>
      <c r="B43" s="172"/>
      <c r="C43" s="127"/>
      <c r="D43" s="128" t="s">
        <v>400</v>
      </c>
      <c r="E43" s="129"/>
      <c r="F43" s="128"/>
      <c r="G43" s="605"/>
      <c r="H43" s="306" t="s">
        <v>442</v>
      </c>
      <c r="I43" s="492" t="s">
        <v>401</v>
      </c>
      <c r="J43" s="598"/>
      <c r="K43" s="364" t="s">
        <v>443</v>
      </c>
      <c r="L43" s="365" t="s">
        <v>347</v>
      </c>
      <c r="M43" s="688" t="s">
        <v>443</v>
      </c>
      <c r="N43" s="660" t="s">
        <v>347</v>
      </c>
      <c r="O43" s="364" t="s">
        <v>443</v>
      </c>
      <c r="P43" s="365" t="s">
        <v>347</v>
      </c>
      <c r="Q43" s="436"/>
      <c r="R43" s="1051" t="s">
        <v>444</v>
      </c>
      <c r="S43" s="439" t="s">
        <v>154</v>
      </c>
      <c r="T43" s="440"/>
      <c r="U43" s="1052" t="s">
        <v>444</v>
      </c>
      <c r="V43" s="1053" t="s">
        <v>154</v>
      </c>
      <c r="W43" s="1054"/>
      <c r="X43" s="1055" t="s">
        <v>444</v>
      </c>
      <c r="Y43" s="439" t="s">
        <v>154</v>
      </c>
      <c r="Z43" s="440"/>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row>
    <row r="44" spans="1:79" s="50" customFormat="1" ht="14.95" customHeight="1" x14ac:dyDescent="0.2">
      <c r="A44" s="51"/>
      <c r="B44"/>
      <c r="C44" s="130"/>
      <c r="D44" s="84"/>
      <c r="E44" s="84"/>
      <c r="F44" s="131"/>
      <c r="G44" s="606"/>
      <c r="H44" s="155" t="s">
        <v>340</v>
      </c>
      <c r="I44" s="110" t="s">
        <v>161</v>
      </c>
      <c r="J44" s="110" t="s">
        <v>154</v>
      </c>
      <c r="K44" s="314"/>
      <c r="L44" s="277" t="s">
        <v>154</v>
      </c>
      <c r="M44" s="689"/>
      <c r="N44" s="655" t="s">
        <v>154</v>
      </c>
      <c r="O44" s="314"/>
      <c r="P44" s="277" t="s">
        <v>154</v>
      </c>
      <c r="Q44" s="436"/>
      <c r="R44" s="1056" t="s">
        <v>5</v>
      </c>
      <c r="S44" s="441" t="s">
        <v>445</v>
      </c>
      <c r="T44" s="442" t="s">
        <v>446</v>
      </c>
      <c r="U44" s="1057" t="s">
        <v>5</v>
      </c>
      <c r="V44" s="1058" t="s">
        <v>445</v>
      </c>
      <c r="W44" s="908" t="s">
        <v>446</v>
      </c>
      <c r="X44" s="1059" t="s">
        <v>5</v>
      </c>
      <c r="Y44" s="441" t="s">
        <v>445</v>
      </c>
      <c r="Z44" s="442" t="s">
        <v>446</v>
      </c>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row>
    <row r="45" spans="1:79" s="50" customFormat="1" ht="14.95" customHeight="1" x14ac:dyDescent="0.2">
      <c r="A45" s="185" t="s">
        <v>282</v>
      </c>
      <c r="B45" s="1415">
        <v>1</v>
      </c>
      <c r="C45" s="103"/>
      <c r="D45" s="132" t="e">
        <f>IF($B45=0,0,VLOOKUP($B45,Arbeitsgänge!$B$27:$O$74,2))</f>
        <v>#N/A</v>
      </c>
      <c r="E45" s="8"/>
      <c r="F45" s="8"/>
      <c r="G45" s="607"/>
      <c r="H45" s="602" t="e">
        <f>IF($B45=0,0,VLOOKUP($B45,Arbeitsgänge!$B$27:$T$79,7))</f>
        <v>#N/A</v>
      </c>
      <c r="I45" s="603" t="e">
        <f>IF($B45=0,0,VLOOKUP($B45,Arbeitsgänge!$B$27:$T$79,12))</f>
        <v>#N/A</v>
      </c>
      <c r="J45" s="401" t="e">
        <f>IF($B45=0,0,VLOOKUP($B45,Arbeitsgänge!$B$27:$T$79,14))</f>
        <v>#N/A</v>
      </c>
      <c r="K45" s="315">
        <v>0.5</v>
      </c>
      <c r="L45" s="279" t="e">
        <f t="shared" ref="L45:L55" si="0">K45*$J45</f>
        <v>#N/A</v>
      </c>
      <c r="M45" s="315">
        <v>0.5</v>
      </c>
      <c r="N45" s="656" t="e">
        <f t="shared" ref="N45:N55" si="1">M45*$J45</f>
        <v>#N/A</v>
      </c>
      <c r="O45" s="315">
        <v>0.5</v>
      </c>
      <c r="P45" s="279" t="e">
        <f t="shared" ref="P45:P55" si="2">O45*$J45</f>
        <v>#N/A</v>
      </c>
      <c r="Q45" s="436"/>
      <c r="R45" s="1060" t="e">
        <f t="shared" ref="R45:R55" si="3">$I45*K45</f>
        <v>#N/A</v>
      </c>
      <c r="S45" s="443" t="e">
        <f>K45*#REF!</f>
        <v>#REF!</v>
      </c>
      <c r="T45" s="225" t="e">
        <f t="shared" ref="T45:T55" si="4">K45*$J45</f>
        <v>#N/A</v>
      </c>
      <c r="U45" s="1061" t="e">
        <f t="shared" ref="U45:U55" si="5">$I45*M45</f>
        <v>#N/A</v>
      </c>
      <c r="V45" s="1062" t="e">
        <f>M45*#REF!</f>
        <v>#REF!</v>
      </c>
      <c r="W45" s="691" t="e">
        <f t="shared" ref="W45:W55" si="6">M45*$J45</f>
        <v>#N/A</v>
      </c>
      <c r="X45" s="1063" t="e">
        <f t="shared" ref="X45:X55" si="7">$I45*O45</f>
        <v>#N/A</v>
      </c>
      <c r="Y45" s="443" t="e">
        <f>O45*#REF!</f>
        <v>#REF!</v>
      </c>
      <c r="Z45" s="225" t="e">
        <f t="shared" ref="Z45:Z55" si="8">O45*$J45</f>
        <v>#N/A</v>
      </c>
      <c r="AA45" s="436"/>
      <c r="AB45" s="436"/>
      <c r="AC45" s="436"/>
      <c r="AD45" s="436"/>
      <c r="AE45" s="436"/>
      <c r="AF45" s="436"/>
      <c r="AG45" s="436"/>
      <c r="AH45" s="436"/>
      <c r="AI45" s="436"/>
      <c r="AJ45" s="436"/>
      <c r="AK45" s="436"/>
      <c r="AL45" s="436"/>
      <c r="AM45" s="436"/>
      <c r="AN45" s="436"/>
      <c r="AO45" s="436"/>
      <c r="AP45" s="436"/>
      <c r="AQ45" s="436"/>
      <c r="AR45" s="436"/>
      <c r="AS45" s="436"/>
      <c r="AT45" s="436"/>
      <c r="AU45" s="436"/>
      <c r="AV45" s="436"/>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row>
    <row r="46" spans="1:79" s="50" customFormat="1" ht="14.95" customHeight="1" x14ac:dyDescent="0.2">
      <c r="A46" s="185" t="s">
        <v>282</v>
      </c>
      <c r="B46" s="1415">
        <v>7</v>
      </c>
      <c r="C46" s="103"/>
      <c r="D46" s="132" t="str">
        <f>IF($B46=0,0,VLOOKUP($B46,Arbeitsgänge!$B$27:$O$74,2))</f>
        <v>Cambridgewalze 4 m</v>
      </c>
      <c r="E46" s="8"/>
      <c r="F46" s="8"/>
      <c r="G46" s="607"/>
      <c r="H46" s="602" t="str">
        <f>IF($B46=0,0,VLOOKUP($B46,Arbeitsgänge!$B$27:$T$79,7))</f>
        <v>x</v>
      </c>
      <c r="I46" s="603">
        <f>IF($B46=0,0,VLOOKUP($B46,Arbeitsgänge!$B$27:$T$79,12))</f>
        <v>8.8260781587999997</v>
      </c>
      <c r="J46" s="401" t="str">
        <f>IF($B46=0,0,VLOOKUP($B46,Arbeitsgänge!$B$27:$T$79,14))</f>
        <v>KTBL (2016/17): S. 96+172</v>
      </c>
      <c r="K46" s="316">
        <v>0.5</v>
      </c>
      <c r="L46" s="279" t="e">
        <f t="shared" si="0"/>
        <v>#VALUE!</v>
      </c>
      <c r="M46" s="316">
        <v>0.5</v>
      </c>
      <c r="N46" s="656" t="e">
        <f t="shared" si="1"/>
        <v>#VALUE!</v>
      </c>
      <c r="O46" s="316">
        <v>0.5</v>
      </c>
      <c r="P46" s="279" t="e">
        <f t="shared" si="2"/>
        <v>#VALUE!</v>
      </c>
      <c r="Q46" s="436"/>
      <c r="R46" s="1064">
        <f t="shared" si="3"/>
        <v>4.4130390793999998</v>
      </c>
      <c r="S46" s="402" t="e">
        <f>K46*#REF!</f>
        <v>#REF!</v>
      </c>
      <c r="T46" s="225" t="e">
        <f t="shared" si="4"/>
        <v>#VALUE!</v>
      </c>
      <c r="U46" s="1065">
        <f t="shared" si="5"/>
        <v>4.4130390793999998</v>
      </c>
      <c r="V46" s="1066" t="e">
        <f>M46*#REF!</f>
        <v>#REF!</v>
      </c>
      <c r="W46" s="691" t="e">
        <f t="shared" si="6"/>
        <v>#VALUE!</v>
      </c>
      <c r="X46" s="1067">
        <f t="shared" si="7"/>
        <v>4.4130390793999998</v>
      </c>
      <c r="Y46" s="402" t="e">
        <f>O46*#REF!</f>
        <v>#REF!</v>
      </c>
      <c r="Z46" s="225" t="e">
        <f t="shared" si="8"/>
        <v>#VALUE!</v>
      </c>
      <c r="AA46" s="436"/>
      <c r="AB46" s="436"/>
      <c r="AC46" s="436"/>
      <c r="AD46" s="436"/>
      <c r="AE46" s="436"/>
      <c r="AF46" s="436"/>
      <c r="AG46" s="436"/>
      <c r="AH46" s="436"/>
      <c r="AI46" s="436"/>
      <c r="AJ46" s="436"/>
      <c r="AK46" s="436"/>
      <c r="AL46" s="436"/>
      <c r="AM46" s="436"/>
      <c r="AN46" s="436"/>
      <c r="AO46" s="436"/>
      <c r="AP46" s="436"/>
      <c r="AQ46" s="436"/>
      <c r="AR46" s="436"/>
      <c r="AS46" s="436"/>
      <c r="AT46" s="436"/>
      <c r="AU46" s="436"/>
      <c r="AV46" s="436"/>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row>
    <row r="47" spans="1:79" s="50" customFormat="1" ht="14.95" customHeight="1" x14ac:dyDescent="0.2">
      <c r="A47" s="185" t="s">
        <v>282</v>
      </c>
      <c r="B47" s="1415">
        <v>15</v>
      </c>
      <c r="C47" s="103"/>
      <c r="D47" s="132" t="str">
        <f>IF($B47=0,0,VLOOKUP($B47,Arbeitsgänge!$B$27:$O$74,2))</f>
        <v>Reihehackgerät 3m</v>
      </c>
      <c r="E47" s="8"/>
      <c r="F47" s="8"/>
      <c r="G47" s="607"/>
      <c r="H47" s="602" t="str">
        <f>IF($B47=0,0,VLOOKUP($B47,Arbeitsgänge!$B$27:$T$79,7))</f>
        <v>x</v>
      </c>
      <c r="I47" s="603">
        <f>IF($B47=0,0,VLOOKUP($B47,Arbeitsgänge!$B$27:$T$79,12))</f>
        <v>14.9882142228</v>
      </c>
      <c r="J47" s="401" t="str">
        <f>IF($B47=0,0,VLOOKUP($B47,Arbeitsgänge!$B$27:$T$79,14))</f>
        <v>KTBL ÖKO (2017):S.112+208</v>
      </c>
      <c r="K47" s="316">
        <v>1</v>
      </c>
      <c r="L47" s="279" t="e">
        <f t="shared" si="0"/>
        <v>#VALUE!</v>
      </c>
      <c r="M47" s="316">
        <v>1</v>
      </c>
      <c r="N47" s="656" t="e">
        <f t="shared" si="1"/>
        <v>#VALUE!</v>
      </c>
      <c r="O47" s="316">
        <v>1</v>
      </c>
      <c r="P47" s="279" t="e">
        <f t="shared" si="2"/>
        <v>#VALUE!</v>
      </c>
      <c r="Q47" s="436"/>
      <c r="R47" s="1064">
        <f t="shared" si="3"/>
        <v>14.9882142228</v>
      </c>
      <c r="S47" s="402" t="e">
        <f>K47*#REF!</f>
        <v>#REF!</v>
      </c>
      <c r="T47" s="225" t="e">
        <f t="shared" si="4"/>
        <v>#VALUE!</v>
      </c>
      <c r="U47" s="1065">
        <f t="shared" si="5"/>
        <v>14.9882142228</v>
      </c>
      <c r="V47" s="1066" t="e">
        <f>M47*#REF!</f>
        <v>#REF!</v>
      </c>
      <c r="W47" s="691" t="e">
        <f t="shared" si="6"/>
        <v>#VALUE!</v>
      </c>
      <c r="X47" s="1067">
        <f t="shared" si="7"/>
        <v>14.9882142228</v>
      </c>
      <c r="Y47" s="402" t="e">
        <f>O47*#REF!</f>
        <v>#REF!</v>
      </c>
      <c r="Z47" s="225" t="e">
        <f t="shared" si="8"/>
        <v>#VALUE!</v>
      </c>
      <c r="AA47" s="436"/>
      <c r="AB47" s="436"/>
      <c r="AC47" s="436"/>
      <c r="AD47" s="436"/>
      <c r="AE47" s="436"/>
      <c r="AF47" s="436"/>
      <c r="AG47" s="436"/>
      <c r="AH47" s="436"/>
      <c r="AI47" s="436"/>
      <c r="AJ47" s="436"/>
      <c r="AK47" s="436"/>
      <c r="AL47" s="436"/>
      <c r="AM47" s="436"/>
      <c r="AN47" s="436"/>
      <c r="AO47" s="436"/>
      <c r="AP47" s="436"/>
      <c r="AQ47" s="436"/>
      <c r="AR47" s="436"/>
      <c r="AS47" s="436"/>
      <c r="AT47" s="436"/>
      <c r="AU47" s="436"/>
      <c r="AV47" s="436"/>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row>
    <row r="48" spans="1:79" s="50" customFormat="1" ht="14.95" customHeight="1" x14ac:dyDescent="0.2">
      <c r="A48" s="185" t="s">
        <v>282</v>
      </c>
      <c r="B48" s="1415">
        <v>25</v>
      </c>
      <c r="C48" s="103"/>
      <c r="D48" s="132">
        <f>IF($B48=0,0,VLOOKUP($B48,Arbeitsgänge!$B$27:$O$74,2))</f>
        <v>0</v>
      </c>
      <c r="E48" s="8"/>
      <c r="F48" s="8"/>
      <c r="G48" s="607"/>
      <c r="H48" s="602">
        <f>IF($B48=0,0,VLOOKUP($B48,Arbeitsgänge!$B$27:$T$79,7))</f>
        <v>0</v>
      </c>
      <c r="I48" s="603">
        <f>IF($B48=0,0,VLOOKUP($B48,Arbeitsgänge!$B$27:$T$79,12))</f>
        <v>0</v>
      </c>
      <c r="J48" s="401">
        <f>IF($B48=0,0,VLOOKUP($B48,Arbeitsgänge!$B$27:$T$79,14))</f>
        <v>0</v>
      </c>
      <c r="K48" s="316">
        <v>1</v>
      </c>
      <c r="L48" s="279">
        <f t="shared" si="0"/>
        <v>0</v>
      </c>
      <c r="M48" s="316">
        <v>1</v>
      </c>
      <c r="N48" s="656">
        <f t="shared" si="1"/>
        <v>0</v>
      </c>
      <c r="O48" s="316">
        <v>1</v>
      </c>
      <c r="P48" s="279">
        <f t="shared" si="2"/>
        <v>0</v>
      </c>
      <c r="Q48" s="436"/>
      <c r="R48" s="1064">
        <f t="shared" si="3"/>
        <v>0</v>
      </c>
      <c r="S48" s="402" t="e">
        <f>K48*#REF!</f>
        <v>#REF!</v>
      </c>
      <c r="T48" s="225">
        <f t="shared" si="4"/>
        <v>0</v>
      </c>
      <c r="U48" s="1065">
        <f t="shared" si="5"/>
        <v>0</v>
      </c>
      <c r="V48" s="1066" t="e">
        <f>M48*#REF!</f>
        <v>#REF!</v>
      </c>
      <c r="W48" s="691">
        <f t="shared" si="6"/>
        <v>0</v>
      </c>
      <c r="X48" s="1067">
        <f t="shared" si="7"/>
        <v>0</v>
      </c>
      <c r="Y48" s="402" t="e">
        <f>O48*#REF!</f>
        <v>#REF!</v>
      </c>
      <c r="Z48" s="225">
        <f t="shared" si="8"/>
        <v>0</v>
      </c>
      <c r="AA48" s="436"/>
      <c r="AB48" s="436"/>
      <c r="AC48" s="436"/>
      <c r="AD48" s="436"/>
      <c r="AE48" s="436"/>
      <c r="AF48" s="436"/>
      <c r="AG48" s="436"/>
      <c r="AH48" s="436"/>
      <c r="AI48" s="436"/>
      <c r="AJ48" s="436"/>
      <c r="AK48" s="436"/>
      <c r="AL48" s="436"/>
      <c r="AM48" s="436"/>
      <c r="AN48" s="436"/>
      <c r="AO48" s="436"/>
      <c r="AP48" s="436"/>
      <c r="AQ48" s="436"/>
      <c r="AR48" s="436"/>
      <c r="AS48" s="436"/>
      <c r="AT48" s="436"/>
      <c r="AU48" s="436"/>
      <c r="AV48" s="436"/>
      <c r="AW48" s="436"/>
      <c r="AX48" s="436"/>
      <c r="AY48" s="436"/>
      <c r="AZ48" s="436"/>
      <c r="BA48" s="436"/>
      <c r="BB48" s="436"/>
      <c r="BC48" s="436"/>
      <c r="BD48" s="436"/>
      <c r="BE48" s="436"/>
      <c r="BF48" s="436"/>
      <c r="BG48" s="436"/>
      <c r="BH48" s="436"/>
      <c r="BI48" s="436"/>
      <c r="BJ48" s="436"/>
      <c r="BK48" s="436"/>
      <c r="BL48" s="436"/>
      <c r="BM48" s="436"/>
      <c r="BN48" s="436"/>
      <c r="BO48" s="436"/>
      <c r="BP48" s="436"/>
      <c r="BQ48" s="436"/>
      <c r="BR48" s="436"/>
      <c r="BS48" s="436"/>
      <c r="BT48" s="436"/>
      <c r="BU48" s="436"/>
      <c r="BV48" s="436"/>
      <c r="BW48" s="436"/>
      <c r="BX48" s="436"/>
      <c r="BY48" s="436"/>
      <c r="BZ48" s="436"/>
      <c r="CA48" s="436"/>
    </row>
    <row r="49" spans="1:79" s="50" customFormat="1" ht="14.95" customHeight="1" x14ac:dyDescent="0.2">
      <c r="A49" s="185" t="s">
        <v>282</v>
      </c>
      <c r="B49" s="1415">
        <v>34</v>
      </c>
      <c r="C49" s="103"/>
      <c r="D49" s="132">
        <f>IF($B49=0,0,VLOOKUP($B49,Arbeitsgänge!$B$27:$O$74,2))</f>
        <v>0</v>
      </c>
      <c r="E49" s="8"/>
      <c r="F49" s="8"/>
      <c r="G49" s="607"/>
      <c r="H49" s="602">
        <f>IF($B49=0,0,VLOOKUP($B49,Arbeitsgänge!$B$27:$T$79,7))</f>
        <v>0</v>
      </c>
      <c r="I49" s="603">
        <f>IF($B49=0,0,VLOOKUP($B49,Arbeitsgänge!$B$27:$T$79,12))</f>
        <v>0</v>
      </c>
      <c r="J49" s="401">
        <f>IF($B49=0,0,VLOOKUP($B49,Arbeitsgänge!$B$27:$T$79,14))</f>
        <v>0</v>
      </c>
      <c r="K49" s="316">
        <v>4</v>
      </c>
      <c r="L49" s="279">
        <f t="shared" si="0"/>
        <v>0</v>
      </c>
      <c r="M49" s="316">
        <v>4.4000000000000004</v>
      </c>
      <c r="N49" s="656">
        <f t="shared" si="1"/>
        <v>0</v>
      </c>
      <c r="O49" s="316">
        <v>4.8</v>
      </c>
      <c r="P49" s="279">
        <f t="shared" si="2"/>
        <v>0</v>
      </c>
      <c r="Q49" s="436"/>
      <c r="R49" s="1064">
        <f t="shared" si="3"/>
        <v>0</v>
      </c>
      <c r="S49" s="402" t="e">
        <f>K49*#REF!</f>
        <v>#REF!</v>
      </c>
      <c r="T49" s="225">
        <f t="shared" si="4"/>
        <v>0</v>
      </c>
      <c r="U49" s="1065">
        <f t="shared" si="5"/>
        <v>0</v>
      </c>
      <c r="V49" s="1066" t="e">
        <f>M49*#REF!</f>
        <v>#REF!</v>
      </c>
      <c r="W49" s="691">
        <f t="shared" si="6"/>
        <v>0</v>
      </c>
      <c r="X49" s="1067">
        <f t="shared" si="7"/>
        <v>0</v>
      </c>
      <c r="Y49" s="402" t="e">
        <f>O49*#REF!</f>
        <v>#REF!</v>
      </c>
      <c r="Z49" s="225">
        <f t="shared" si="8"/>
        <v>0</v>
      </c>
      <c r="AA49" s="436"/>
      <c r="AB49" s="436"/>
      <c r="AC49" s="436"/>
      <c r="AD49" s="436"/>
      <c r="AE49" s="436"/>
      <c r="AF49" s="436"/>
      <c r="AG49" s="436"/>
      <c r="AH49" s="436"/>
      <c r="AI49" s="436"/>
      <c r="AJ49" s="436"/>
      <c r="AK49" s="436"/>
      <c r="AL49" s="436"/>
      <c r="AM49" s="436"/>
      <c r="AN49" s="436"/>
      <c r="AO49" s="436"/>
      <c r="AP49" s="436"/>
      <c r="AQ49" s="436"/>
      <c r="AR49" s="436"/>
      <c r="AS49" s="436"/>
      <c r="AT49" s="436"/>
      <c r="AU49" s="436"/>
      <c r="AV49" s="436"/>
      <c r="AW49" s="436"/>
      <c r="AX49" s="436"/>
      <c r="AY49" s="436"/>
      <c r="AZ49" s="436"/>
      <c r="BA49" s="436"/>
      <c r="BB49" s="436"/>
      <c r="BC49" s="436"/>
      <c r="BD49" s="436"/>
      <c r="BE49" s="436"/>
      <c r="BF49" s="436"/>
      <c r="BG49" s="436"/>
      <c r="BH49" s="436"/>
      <c r="BI49" s="436"/>
      <c r="BJ49" s="436"/>
      <c r="BK49" s="436"/>
      <c r="BL49" s="436"/>
      <c r="BM49" s="436"/>
      <c r="BN49" s="436"/>
      <c r="BO49" s="436"/>
      <c r="BP49" s="436"/>
      <c r="BQ49" s="436"/>
      <c r="BR49" s="436"/>
      <c r="BS49" s="436"/>
      <c r="BT49" s="436"/>
      <c r="BU49" s="436"/>
      <c r="BV49" s="436"/>
      <c r="BW49" s="436"/>
      <c r="BX49" s="436"/>
      <c r="BY49" s="436"/>
      <c r="BZ49" s="436"/>
      <c r="CA49" s="436"/>
    </row>
    <row r="50" spans="1:79" s="50" customFormat="1" ht="14.95" customHeight="1" x14ac:dyDescent="0.2">
      <c r="A50" s="185" t="s">
        <v>282</v>
      </c>
      <c r="B50" s="1415">
        <v>52</v>
      </c>
      <c r="C50" s="103"/>
      <c r="D50" s="132">
        <f>IF($B50=0,0,VLOOKUP($B50,Arbeitsgänge!$B$27:$O$74,2))</f>
        <v>0</v>
      </c>
      <c r="E50" s="8"/>
      <c r="F50" s="8"/>
      <c r="G50" s="607"/>
      <c r="H50" s="602" t="str">
        <f>IF($B50=0,0,VLOOKUP($B50,Arbeitsgänge!$B$27:$T$79,7))</f>
        <v>x</v>
      </c>
      <c r="I50" s="603">
        <f>IF($B50=0,0,VLOOKUP($B50,Arbeitsgänge!$B$27:$T$79,12))</f>
        <v>3.8208849587999998</v>
      </c>
      <c r="J50" s="401" t="str">
        <f>IF($B50=0,0,VLOOKUP($B50,Arbeitsgänge!$B$27:$T$79,14))</f>
        <v>KTBL (2016/17): S. 85+195</v>
      </c>
      <c r="K50" s="316"/>
      <c r="L50" s="279" t="e">
        <f t="shared" si="0"/>
        <v>#VALUE!</v>
      </c>
      <c r="M50" s="316"/>
      <c r="N50" s="656" t="e">
        <f t="shared" si="1"/>
        <v>#VALUE!</v>
      </c>
      <c r="O50" s="316"/>
      <c r="P50" s="279" t="e">
        <f t="shared" si="2"/>
        <v>#VALUE!</v>
      </c>
      <c r="Q50" s="436"/>
      <c r="R50" s="1064">
        <f t="shared" si="3"/>
        <v>0</v>
      </c>
      <c r="S50" s="402" t="e">
        <f>K50*#REF!</f>
        <v>#REF!</v>
      </c>
      <c r="T50" s="225" t="e">
        <f t="shared" si="4"/>
        <v>#VALUE!</v>
      </c>
      <c r="U50" s="1065">
        <f t="shared" si="5"/>
        <v>0</v>
      </c>
      <c r="V50" s="1066" t="e">
        <f>M50*#REF!</f>
        <v>#REF!</v>
      </c>
      <c r="W50" s="691" t="e">
        <f t="shared" si="6"/>
        <v>#VALUE!</v>
      </c>
      <c r="X50" s="1067">
        <f t="shared" si="7"/>
        <v>0</v>
      </c>
      <c r="Y50" s="402" t="e">
        <f>O50*#REF!</f>
        <v>#REF!</v>
      </c>
      <c r="Z50" s="225" t="e">
        <f t="shared" si="8"/>
        <v>#VALUE!</v>
      </c>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row>
    <row r="51" spans="1:79" s="50" customFormat="1" ht="14.95" customHeight="1" x14ac:dyDescent="0.2">
      <c r="A51" s="185" t="s">
        <v>282</v>
      </c>
      <c r="B51" s="1415">
        <v>52</v>
      </c>
      <c r="C51" s="103"/>
      <c r="D51" s="132">
        <f>IF($B51=0,0,VLOOKUP($B51,Arbeitsgänge!$B$27:$O$74,2))</f>
        <v>0</v>
      </c>
      <c r="E51" s="8"/>
      <c r="F51" s="8"/>
      <c r="G51" s="607"/>
      <c r="H51" s="602" t="str">
        <f>IF($B51=0,0,VLOOKUP($B51,Arbeitsgänge!$B$27:$T$79,7))</f>
        <v>x</v>
      </c>
      <c r="I51" s="603">
        <f>IF($B51=0,0,VLOOKUP($B51,Arbeitsgänge!$B$27:$T$79,12))</f>
        <v>3.8208849587999998</v>
      </c>
      <c r="J51" s="401" t="str">
        <f>IF($B51=0,0,VLOOKUP($B51,Arbeitsgänge!$B$27:$T$79,14))</f>
        <v>KTBL (2016/17): S. 85+195</v>
      </c>
      <c r="K51" s="316"/>
      <c r="L51" s="279" t="e">
        <f t="shared" si="0"/>
        <v>#VALUE!</v>
      </c>
      <c r="M51" s="316"/>
      <c r="N51" s="656" t="e">
        <f t="shared" si="1"/>
        <v>#VALUE!</v>
      </c>
      <c r="O51" s="316"/>
      <c r="P51" s="279" t="e">
        <f t="shared" si="2"/>
        <v>#VALUE!</v>
      </c>
      <c r="Q51" s="436"/>
      <c r="R51" s="1064">
        <f t="shared" si="3"/>
        <v>0</v>
      </c>
      <c r="S51" s="402" t="e">
        <f>K51*#REF!</f>
        <v>#REF!</v>
      </c>
      <c r="T51" s="225" t="e">
        <f t="shared" si="4"/>
        <v>#VALUE!</v>
      </c>
      <c r="U51" s="1065">
        <f t="shared" si="5"/>
        <v>0</v>
      </c>
      <c r="V51" s="1066" t="e">
        <f>M51*#REF!</f>
        <v>#REF!</v>
      </c>
      <c r="W51" s="691" t="e">
        <f t="shared" si="6"/>
        <v>#VALUE!</v>
      </c>
      <c r="X51" s="1067">
        <f t="shared" si="7"/>
        <v>0</v>
      </c>
      <c r="Y51" s="402" t="e">
        <f>O51*#REF!</f>
        <v>#REF!</v>
      </c>
      <c r="Z51" s="225" t="e">
        <f t="shared" si="8"/>
        <v>#VALUE!</v>
      </c>
      <c r="AA51" s="436"/>
      <c r="AB51" s="436"/>
      <c r="AC51" s="436"/>
      <c r="AD51" s="436"/>
      <c r="AE51" s="436"/>
      <c r="AF51" s="436"/>
      <c r="AG51" s="436"/>
      <c r="AH51" s="436"/>
      <c r="AI51" s="436"/>
      <c r="AJ51" s="436"/>
      <c r="AK51" s="436"/>
      <c r="AL51" s="436"/>
      <c r="AM51" s="436"/>
      <c r="AN51" s="436"/>
      <c r="AO51" s="436"/>
      <c r="AP51" s="436"/>
      <c r="AQ51" s="436"/>
      <c r="AR51" s="436"/>
      <c r="AS51" s="436"/>
      <c r="AT51" s="436"/>
      <c r="AU51" s="436"/>
      <c r="AV51" s="436"/>
      <c r="AW51" s="436"/>
      <c r="AX51" s="436"/>
      <c r="AY51" s="436"/>
      <c r="AZ51" s="436"/>
      <c r="BA51" s="436"/>
      <c r="BB51" s="436"/>
      <c r="BC51" s="436"/>
      <c r="BD51" s="436"/>
      <c r="BE51" s="436"/>
      <c r="BF51" s="436"/>
      <c r="BG51" s="436"/>
      <c r="BH51" s="436"/>
      <c r="BI51" s="436"/>
      <c r="BJ51" s="436"/>
      <c r="BK51" s="436"/>
      <c r="BL51" s="436"/>
      <c r="BM51" s="436"/>
      <c r="BN51" s="436"/>
      <c r="BO51" s="436"/>
      <c r="BP51" s="436"/>
      <c r="BQ51" s="436"/>
      <c r="BR51" s="436"/>
      <c r="BS51" s="436"/>
      <c r="BT51" s="436"/>
      <c r="BU51" s="436"/>
      <c r="BV51" s="436"/>
      <c r="BW51" s="436"/>
      <c r="BX51" s="436"/>
      <c r="BY51" s="436"/>
      <c r="BZ51" s="436"/>
      <c r="CA51" s="436"/>
    </row>
    <row r="52" spans="1:79" s="50" customFormat="1" ht="14.95" customHeight="1" x14ac:dyDescent="0.2">
      <c r="A52" s="185" t="s">
        <v>282</v>
      </c>
      <c r="B52" s="1415">
        <v>52</v>
      </c>
      <c r="C52" s="103"/>
      <c r="D52" s="132">
        <f>IF($B52=0,0,VLOOKUP($B52,Arbeitsgänge!$B$27:$O$74,2))</f>
        <v>0</v>
      </c>
      <c r="E52" s="8"/>
      <c r="F52" s="8"/>
      <c r="G52" s="607"/>
      <c r="H52" s="602" t="str">
        <f>IF($B52=0,0,VLOOKUP($B52,Arbeitsgänge!$B$27:$T$79,7))</f>
        <v>x</v>
      </c>
      <c r="I52" s="603">
        <f>IF($B52=0,0,VLOOKUP($B52,Arbeitsgänge!$B$27:$T$79,12))</f>
        <v>3.8208849587999998</v>
      </c>
      <c r="J52" s="401" t="str">
        <f>IF($B52=0,0,VLOOKUP($B52,Arbeitsgänge!$B$27:$T$79,14))</f>
        <v>KTBL (2016/17): S. 85+195</v>
      </c>
      <c r="K52" s="316"/>
      <c r="L52" s="279" t="e">
        <f t="shared" si="0"/>
        <v>#VALUE!</v>
      </c>
      <c r="M52" s="316"/>
      <c r="N52" s="656" t="e">
        <f t="shared" si="1"/>
        <v>#VALUE!</v>
      </c>
      <c r="O52" s="316"/>
      <c r="P52" s="279" t="e">
        <f t="shared" si="2"/>
        <v>#VALUE!</v>
      </c>
      <c r="Q52" s="436"/>
      <c r="R52" s="1064">
        <f t="shared" si="3"/>
        <v>0</v>
      </c>
      <c r="S52" s="402" t="e">
        <f>K52*#REF!</f>
        <v>#REF!</v>
      </c>
      <c r="T52" s="225" t="e">
        <f t="shared" si="4"/>
        <v>#VALUE!</v>
      </c>
      <c r="U52" s="1065">
        <f t="shared" si="5"/>
        <v>0</v>
      </c>
      <c r="V52" s="1066" t="e">
        <f>M52*#REF!</f>
        <v>#REF!</v>
      </c>
      <c r="W52" s="691" t="e">
        <f t="shared" si="6"/>
        <v>#VALUE!</v>
      </c>
      <c r="X52" s="1067">
        <f t="shared" si="7"/>
        <v>0</v>
      </c>
      <c r="Y52" s="402" t="e">
        <f>O52*#REF!</f>
        <v>#REF!</v>
      </c>
      <c r="Z52" s="225" t="e">
        <f t="shared" si="8"/>
        <v>#VALUE!</v>
      </c>
      <c r="AA52" s="436"/>
      <c r="AB52" s="436"/>
      <c r="AC52" s="436"/>
      <c r="AD52" s="436"/>
      <c r="AE52" s="436"/>
      <c r="AF52" s="436"/>
      <c r="AG52" s="436"/>
      <c r="AH52" s="436"/>
      <c r="AI52" s="436"/>
      <c r="AJ52" s="436"/>
      <c r="AK52" s="436"/>
      <c r="AL52" s="436"/>
      <c r="AM52" s="436"/>
      <c r="AN52" s="436"/>
      <c r="AO52" s="436"/>
      <c r="AP52" s="436"/>
      <c r="AQ52" s="436"/>
      <c r="AR52" s="436"/>
      <c r="AS52" s="436"/>
      <c r="AT52" s="436"/>
      <c r="AU52" s="436"/>
      <c r="AV52" s="436"/>
      <c r="AW52" s="436"/>
      <c r="AX52" s="436"/>
      <c r="AY52" s="436"/>
      <c r="AZ52" s="436"/>
      <c r="BA52" s="436"/>
      <c r="BB52" s="436"/>
      <c r="BC52" s="436"/>
      <c r="BD52" s="436"/>
      <c r="BE52" s="436"/>
      <c r="BF52" s="436"/>
      <c r="BG52" s="436"/>
      <c r="BH52" s="436"/>
      <c r="BI52" s="436"/>
      <c r="BJ52" s="436"/>
      <c r="BK52" s="436"/>
      <c r="BL52" s="436"/>
      <c r="BM52" s="436"/>
      <c r="BN52" s="436"/>
      <c r="BO52" s="436"/>
      <c r="BP52" s="436"/>
      <c r="BQ52" s="436"/>
      <c r="BR52" s="436"/>
      <c r="BS52" s="436"/>
      <c r="BT52" s="436"/>
      <c r="BU52" s="436"/>
      <c r="BV52" s="436"/>
      <c r="BW52" s="436"/>
      <c r="BX52" s="436"/>
      <c r="BY52" s="436"/>
      <c r="BZ52" s="436"/>
      <c r="CA52" s="436"/>
    </row>
    <row r="53" spans="1:79" s="50" customFormat="1" ht="14.95" customHeight="1" x14ac:dyDescent="0.2">
      <c r="A53" s="185" t="s">
        <v>282</v>
      </c>
      <c r="B53" s="1415">
        <v>52</v>
      </c>
      <c r="C53" s="103"/>
      <c r="D53" s="132">
        <f>IF($B53=0,0,VLOOKUP($B53,Arbeitsgänge!$B$27:$O$74,2))</f>
        <v>0</v>
      </c>
      <c r="E53" s="8"/>
      <c r="F53" s="8"/>
      <c r="G53" s="607"/>
      <c r="H53" s="602" t="str">
        <f>IF($B53=0,0,VLOOKUP($B53,Arbeitsgänge!$B$27:$T$79,7))</f>
        <v>x</v>
      </c>
      <c r="I53" s="603">
        <f>IF($B53=0,0,VLOOKUP($B53,Arbeitsgänge!$B$27:$T$79,12))</f>
        <v>3.8208849587999998</v>
      </c>
      <c r="J53" s="401" t="str">
        <f>IF($B53=0,0,VLOOKUP($B53,Arbeitsgänge!$B$27:$T$79,14))</f>
        <v>KTBL (2016/17): S. 85+195</v>
      </c>
      <c r="K53" s="316"/>
      <c r="L53" s="279" t="e">
        <f t="shared" si="0"/>
        <v>#VALUE!</v>
      </c>
      <c r="M53" s="316"/>
      <c r="N53" s="656" t="e">
        <f t="shared" si="1"/>
        <v>#VALUE!</v>
      </c>
      <c r="O53" s="316"/>
      <c r="P53" s="279" t="e">
        <f t="shared" si="2"/>
        <v>#VALUE!</v>
      </c>
      <c r="Q53" s="436"/>
      <c r="R53" s="1064">
        <f t="shared" si="3"/>
        <v>0</v>
      </c>
      <c r="S53" s="402" t="e">
        <f>K53*#REF!</f>
        <v>#REF!</v>
      </c>
      <c r="T53" s="225" t="e">
        <f t="shared" si="4"/>
        <v>#VALUE!</v>
      </c>
      <c r="U53" s="1065">
        <f t="shared" si="5"/>
        <v>0</v>
      </c>
      <c r="V53" s="1066" t="e">
        <f>M53*#REF!</f>
        <v>#REF!</v>
      </c>
      <c r="W53" s="691" t="e">
        <f t="shared" si="6"/>
        <v>#VALUE!</v>
      </c>
      <c r="X53" s="1067">
        <f t="shared" si="7"/>
        <v>0</v>
      </c>
      <c r="Y53" s="402" t="e">
        <f>O53*#REF!</f>
        <v>#REF!</v>
      </c>
      <c r="Z53" s="225" t="e">
        <f t="shared" si="8"/>
        <v>#VALUE!</v>
      </c>
      <c r="AA53" s="436"/>
      <c r="AB53" s="436"/>
      <c r="AC53" s="436"/>
      <c r="AD53" s="436"/>
      <c r="AE53" s="436"/>
      <c r="AF53" s="436"/>
      <c r="AG53" s="436"/>
      <c r="AH53" s="436"/>
      <c r="AI53" s="436"/>
      <c r="AJ53" s="436"/>
      <c r="AK53" s="436"/>
      <c r="AL53" s="436"/>
      <c r="AM53" s="436"/>
      <c r="AN53" s="436"/>
      <c r="AO53" s="436"/>
      <c r="AP53" s="436"/>
      <c r="AQ53" s="436"/>
      <c r="AR53" s="436"/>
      <c r="AS53" s="436"/>
      <c r="AT53" s="436"/>
      <c r="AU53" s="436"/>
      <c r="AV53" s="436"/>
      <c r="AW53" s="436"/>
      <c r="AX53" s="436"/>
      <c r="AY53" s="436"/>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row>
    <row r="54" spans="1:79" s="50" customFormat="1" ht="14.95" customHeight="1" x14ac:dyDescent="0.2">
      <c r="A54" s="185" t="s">
        <v>282</v>
      </c>
      <c r="B54" s="1415">
        <v>52</v>
      </c>
      <c r="C54" s="103"/>
      <c r="D54" s="132">
        <f>IF($B54=0,0,VLOOKUP($B54,Arbeitsgänge!$B$27:$O$74,2))</f>
        <v>0</v>
      </c>
      <c r="E54" s="8"/>
      <c r="F54" s="8"/>
      <c r="G54" s="607"/>
      <c r="H54" s="602" t="str">
        <f>IF($B54=0,0,VLOOKUP($B54,Arbeitsgänge!$B$27:$T$79,7))</f>
        <v>x</v>
      </c>
      <c r="I54" s="603">
        <f>IF($B54=0,0,VLOOKUP($B54,Arbeitsgänge!$B$27:$T$79,12))</f>
        <v>3.8208849587999998</v>
      </c>
      <c r="J54" s="401" t="str">
        <f>IF($B54=0,0,VLOOKUP($B54,Arbeitsgänge!$B$27:$T$79,14))</f>
        <v>KTBL (2016/17): S. 85+195</v>
      </c>
      <c r="K54" s="316"/>
      <c r="L54" s="279" t="e">
        <f t="shared" si="0"/>
        <v>#VALUE!</v>
      </c>
      <c r="M54" s="318"/>
      <c r="N54" s="656" t="e">
        <f t="shared" si="1"/>
        <v>#VALUE!</v>
      </c>
      <c r="O54" s="318"/>
      <c r="P54" s="279" t="e">
        <f t="shared" si="2"/>
        <v>#VALUE!</v>
      </c>
      <c r="Q54" s="436"/>
      <c r="R54" s="1064">
        <f t="shared" si="3"/>
        <v>0</v>
      </c>
      <c r="S54" s="402" t="e">
        <f>K54*#REF!</f>
        <v>#REF!</v>
      </c>
      <c r="T54" s="225" t="e">
        <f t="shared" si="4"/>
        <v>#VALUE!</v>
      </c>
      <c r="U54" s="1065">
        <f t="shared" si="5"/>
        <v>0</v>
      </c>
      <c r="V54" s="1066" t="e">
        <f>M54*#REF!</f>
        <v>#REF!</v>
      </c>
      <c r="W54" s="691" t="e">
        <f t="shared" si="6"/>
        <v>#VALUE!</v>
      </c>
      <c r="X54" s="1067">
        <f t="shared" si="7"/>
        <v>0</v>
      </c>
      <c r="Y54" s="402" t="e">
        <f>O54*#REF!</f>
        <v>#REF!</v>
      </c>
      <c r="Z54" s="225" t="e">
        <f t="shared" si="8"/>
        <v>#VALUE!</v>
      </c>
      <c r="AA54" s="436"/>
      <c r="AB54" s="436"/>
      <c r="AC54" s="436"/>
      <c r="AD54" s="436"/>
      <c r="AE54" s="436"/>
      <c r="AF54" s="436"/>
      <c r="AG54" s="436"/>
      <c r="AH54" s="436"/>
      <c r="AI54" s="436"/>
      <c r="AJ54" s="436"/>
      <c r="AK54" s="436"/>
      <c r="AL54" s="436"/>
      <c r="AM54" s="436"/>
      <c r="AN54" s="436"/>
      <c r="AO54" s="436"/>
      <c r="AP54" s="436"/>
      <c r="AQ54" s="436"/>
      <c r="AR54" s="436"/>
      <c r="AS54" s="436"/>
      <c r="AT54" s="436"/>
      <c r="AU54" s="436"/>
      <c r="AV54" s="436"/>
      <c r="AW54" s="436"/>
      <c r="AX54" s="436"/>
      <c r="AY54" s="436"/>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row>
    <row r="55" spans="1:79" s="50" customFormat="1" ht="14.95" customHeight="1" x14ac:dyDescent="0.2">
      <c r="A55" s="185" t="s">
        <v>282</v>
      </c>
      <c r="B55" s="1415">
        <v>52</v>
      </c>
      <c r="C55" s="103"/>
      <c r="D55" s="133">
        <f>IF($B55=0,0,VLOOKUP($B55,Arbeitsgänge!$B$27:$O$74,2))</f>
        <v>0</v>
      </c>
      <c r="E55" s="84"/>
      <c r="F55" s="84"/>
      <c r="G55" s="608"/>
      <c r="H55" s="1432" t="str">
        <f>IF($B55=0,0,VLOOKUP($B55,Arbeitsgänge!$B$27:$T$79,7))</f>
        <v>x</v>
      </c>
      <c r="I55" s="604">
        <f>IF($B55=0,0,VLOOKUP($B55,Arbeitsgänge!$B$27:$T$79,12))</f>
        <v>3.8208849587999998</v>
      </c>
      <c r="J55" s="1430" t="str">
        <f>IF($B55=0,0,VLOOKUP($B55,Arbeitsgänge!$B$27:$T$79,14))</f>
        <v>KTBL (2016/17): S. 85+195</v>
      </c>
      <c r="K55" s="317"/>
      <c r="L55" s="313" t="e">
        <f t="shared" si="0"/>
        <v>#VALUE!</v>
      </c>
      <c r="M55" s="319"/>
      <c r="N55" s="661" t="e">
        <f t="shared" si="1"/>
        <v>#VALUE!</v>
      </c>
      <c r="O55" s="319"/>
      <c r="P55" s="313" t="e">
        <f t="shared" si="2"/>
        <v>#VALUE!</v>
      </c>
      <c r="Q55" s="436"/>
      <c r="R55" s="1068">
        <f t="shared" si="3"/>
        <v>0</v>
      </c>
      <c r="S55" s="403" t="e">
        <f>K55*#REF!</f>
        <v>#REF!</v>
      </c>
      <c r="T55" s="444" t="e">
        <f t="shared" si="4"/>
        <v>#VALUE!</v>
      </c>
      <c r="U55" s="1069">
        <f t="shared" si="5"/>
        <v>0</v>
      </c>
      <c r="V55" s="1070" t="e">
        <f>M55*#REF!</f>
        <v>#REF!</v>
      </c>
      <c r="W55" s="1071" t="e">
        <f t="shared" si="6"/>
        <v>#VALUE!</v>
      </c>
      <c r="X55" s="1072">
        <f t="shared" si="7"/>
        <v>0</v>
      </c>
      <c r="Y55" s="403" t="e">
        <f>O55*#REF!</f>
        <v>#REF!</v>
      </c>
      <c r="Z55" s="444" t="e">
        <f t="shared" si="8"/>
        <v>#VALUE!</v>
      </c>
      <c r="AA55" s="436"/>
      <c r="AB55" s="436"/>
      <c r="AC55" s="436"/>
      <c r="AD55" s="436"/>
      <c r="AE55" s="436"/>
      <c r="AF55" s="436"/>
      <c r="AG55" s="436"/>
      <c r="AH55" s="436"/>
      <c r="AI55" s="436"/>
      <c r="AJ55" s="436"/>
      <c r="AK55" s="436"/>
      <c r="AL55" s="436"/>
      <c r="AM55" s="436"/>
      <c r="AN55" s="436"/>
      <c r="AO55" s="436"/>
      <c r="AP55" s="436"/>
      <c r="AQ55" s="436"/>
      <c r="AR55" s="436"/>
      <c r="AS55" s="436"/>
      <c r="AT55" s="436"/>
      <c r="AU55" s="436"/>
      <c r="AV55" s="436"/>
      <c r="AW55" s="436"/>
      <c r="AX55" s="436"/>
      <c r="AY55" s="436"/>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row>
    <row r="56" spans="1:79" s="134" customFormat="1" ht="16.5" customHeight="1" x14ac:dyDescent="0.2">
      <c r="A56" s="176"/>
      <c r="B56" s="177"/>
      <c r="C56" s="135"/>
      <c r="D56" s="117" t="s">
        <v>169</v>
      </c>
      <c r="E56" s="136"/>
      <c r="F56" s="136"/>
      <c r="G56" s="136"/>
      <c r="H56" s="8"/>
      <c r="I56" s="8"/>
      <c r="J56" s="302" t="s">
        <v>161</v>
      </c>
      <c r="K56" s="282" t="e">
        <f>SUM($R$45:$R$55)</f>
        <v>#N/A</v>
      </c>
      <c r="L56" s="283"/>
      <c r="M56" s="662" t="e">
        <f>SUM($U$45:$U$55)</f>
        <v>#N/A</v>
      </c>
      <c r="N56" s="663"/>
      <c r="O56" s="282" t="e">
        <f>SUM($X$45:$X$55)</f>
        <v>#N/A</v>
      </c>
      <c r="P56" s="283"/>
      <c r="Q56" s="445"/>
      <c r="R56" s="1010"/>
      <c r="S56" s="1010"/>
      <c r="T56" s="1010"/>
      <c r="U56" s="1010"/>
      <c r="V56" s="1010"/>
      <c r="W56" s="1010"/>
      <c r="X56" s="445"/>
      <c r="Y56" s="445"/>
      <c r="Z56" s="445"/>
      <c r="AA56" s="445"/>
      <c r="AB56" s="445"/>
      <c r="AC56" s="445"/>
      <c r="AD56" s="445"/>
      <c r="AE56" s="445"/>
      <c r="AF56" s="445"/>
      <c r="AG56" s="445"/>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row>
    <row r="57" spans="1:79" s="134" customFormat="1" ht="14.95" customHeight="1" x14ac:dyDescent="0.2">
      <c r="A57" s="186"/>
      <c r="B57" s="187"/>
      <c r="C57" s="137"/>
      <c r="D57" s="138"/>
      <c r="E57" s="74"/>
      <c r="F57" s="139" t="s">
        <v>170</v>
      </c>
      <c r="G57" s="140">
        <v>70</v>
      </c>
      <c r="H57" s="74" t="s">
        <v>487</v>
      </c>
      <c r="I57" s="74"/>
      <c r="J57" s="88"/>
      <c r="K57" s="284" t="e">
        <f>SUM($R$45:$R$55)+SUM($R$45:$R$55)*$G$57/100</f>
        <v>#N/A</v>
      </c>
      <c r="L57" s="285"/>
      <c r="M57" s="664" t="e">
        <f>SUM($U$45:$U$55)+SUM($U$45:$U$55)*$G$57/100</f>
        <v>#N/A</v>
      </c>
      <c r="N57" s="665"/>
      <c r="O57" s="284" t="e">
        <f>SUM($X$45:$X$55)+SUM($X$45:$X$55)*$G$57/100</f>
        <v>#N/A</v>
      </c>
      <c r="P57" s="285"/>
      <c r="Q57" s="445"/>
      <c r="R57" s="445"/>
      <c r="S57" s="445"/>
      <c r="T57" s="445"/>
      <c r="U57" s="445"/>
      <c r="V57" s="445"/>
      <c r="W57" s="445"/>
      <c r="X57" s="445"/>
      <c r="Y57" s="445"/>
      <c r="Z57" s="445"/>
      <c r="AA57" s="445"/>
      <c r="AB57" s="445"/>
      <c r="AC57" s="445"/>
      <c r="AD57" s="445"/>
      <c r="AE57" s="445"/>
      <c r="AF57" s="445"/>
      <c r="AG57" s="445"/>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row>
    <row r="58" spans="1:79" s="50" customFormat="1" ht="16.5" customHeight="1" x14ac:dyDescent="0.2">
      <c r="A58" s="51"/>
      <c r="B58" s="170"/>
      <c r="C58" s="103"/>
      <c r="D58" s="117" t="s">
        <v>171</v>
      </c>
      <c r="E58" s="136"/>
      <c r="F58" s="136"/>
      <c r="G58" s="242" t="s">
        <v>140</v>
      </c>
      <c r="H58" s="563">
        <f>Preise!$M$10</f>
        <v>19</v>
      </c>
      <c r="I58" s="136"/>
      <c r="J58" s="302" t="s">
        <v>154</v>
      </c>
      <c r="K58" s="286"/>
      <c r="L58" s="267">
        <f>SUM(L60:L62)</f>
        <v>0</v>
      </c>
      <c r="M58" s="690"/>
      <c r="N58" s="651">
        <f>SUM(N60:N62)</f>
        <v>0</v>
      </c>
      <c r="O58" s="286"/>
      <c r="P58" s="267">
        <f>SUM(P60:P62)</f>
        <v>0</v>
      </c>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36"/>
      <c r="BG58" s="436"/>
      <c r="BH58" s="436"/>
      <c r="BI58" s="436"/>
      <c r="BJ58" s="436"/>
      <c r="BK58" s="436"/>
      <c r="BL58" s="436"/>
      <c r="BM58" s="436"/>
      <c r="BN58" s="436"/>
      <c r="BO58" s="436"/>
      <c r="BP58" s="436"/>
      <c r="BQ58" s="436"/>
      <c r="BR58" s="436"/>
      <c r="BS58" s="436"/>
      <c r="BT58" s="436"/>
      <c r="BU58" s="436"/>
      <c r="BV58" s="436"/>
      <c r="BW58" s="436"/>
      <c r="BX58" s="436"/>
      <c r="BY58" s="436"/>
      <c r="BZ58" s="436"/>
      <c r="CA58" s="436"/>
    </row>
    <row r="59" spans="1:79" s="50" customFormat="1" ht="16.5" customHeight="1" x14ac:dyDescent="0.2">
      <c r="A59" s="51"/>
      <c r="B59" s="170"/>
      <c r="C59" s="296"/>
      <c r="D59" s="128" t="s">
        <v>447</v>
      </c>
      <c r="E59" s="129"/>
      <c r="F59" s="129"/>
      <c r="G59" s="1924" t="s">
        <v>173</v>
      </c>
      <c r="H59" s="1925" t="s">
        <v>152</v>
      </c>
      <c r="I59" s="1926" t="s">
        <v>307</v>
      </c>
      <c r="J59" s="1933"/>
      <c r="K59" s="364" t="s">
        <v>443</v>
      </c>
      <c r="L59" s="1934" t="s">
        <v>154</v>
      </c>
      <c r="M59" s="688" t="s">
        <v>443</v>
      </c>
      <c r="N59" s="1935" t="s">
        <v>154</v>
      </c>
      <c r="O59" s="364" t="s">
        <v>443</v>
      </c>
      <c r="P59" s="1934" t="s">
        <v>154</v>
      </c>
      <c r="Q59" s="436"/>
      <c r="R59" s="436"/>
      <c r="S59" s="436"/>
      <c r="T59" s="436"/>
      <c r="U59" s="436"/>
      <c r="V59" s="436"/>
      <c r="W59" s="436"/>
      <c r="X59" s="436"/>
      <c r="Y59" s="436"/>
      <c r="Z59" s="436"/>
      <c r="AA59" s="436"/>
      <c r="AB59" s="436"/>
      <c r="AC59" s="436"/>
      <c r="AD59" s="436"/>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36"/>
      <c r="BG59" s="436"/>
      <c r="BH59" s="436"/>
      <c r="BI59" s="436"/>
      <c r="BJ59" s="436"/>
      <c r="BK59" s="436"/>
      <c r="BL59" s="436"/>
      <c r="BM59" s="436"/>
      <c r="BN59" s="436"/>
      <c r="BO59" s="436"/>
      <c r="BP59" s="436"/>
      <c r="BQ59" s="436"/>
      <c r="BR59" s="436"/>
      <c r="BS59" s="436"/>
      <c r="BT59" s="436"/>
      <c r="BU59" s="436"/>
      <c r="BV59" s="436"/>
      <c r="BW59" s="436"/>
      <c r="BX59" s="436"/>
      <c r="BY59" s="436"/>
      <c r="BZ59" s="436"/>
      <c r="CA59" s="436"/>
    </row>
    <row r="60" spans="1:79" s="50" customFormat="1" ht="14.95" customHeight="1" x14ac:dyDescent="0.2">
      <c r="A60" s="51"/>
      <c r="B60" s="170"/>
      <c r="C60" s="103"/>
      <c r="D60" s="2035"/>
      <c r="E60" s="58"/>
      <c r="F60" s="58"/>
      <c r="G60" s="58"/>
      <c r="H60" s="2036"/>
      <c r="I60" s="2037">
        <f>H60*($H$58+100)/100</f>
        <v>0</v>
      </c>
      <c r="J60" s="341"/>
      <c r="K60" s="2038"/>
      <c r="L60" s="2039">
        <f>K60*I60</f>
        <v>0</v>
      </c>
      <c r="M60" s="2038"/>
      <c r="N60" s="2040">
        <f>M60*I60</f>
        <v>0</v>
      </c>
      <c r="O60" s="2038"/>
      <c r="P60" s="2039">
        <f>O60*I60</f>
        <v>0</v>
      </c>
      <c r="Q60" s="436"/>
      <c r="R60" s="436"/>
      <c r="S60" s="436"/>
      <c r="T60" s="436"/>
      <c r="U60" s="436"/>
      <c r="V60" s="436"/>
      <c r="W60" s="436"/>
      <c r="Y60" s="436"/>
      <c r="Z60" s="436"/>
      <c r="AA60" s="436"/>
      <c r="AB60" s="436"/>
      <c r="AC60" s="436"/>
      <c r="AD60" s="436"/>
      <c r="AE60" s="436"/>
      <c r="AF60" s="436"/>
      <c r="AG60" s="436"/>
      <c r="AH60" s="436"/>
      <c r="AI60" s="436"/>
      <c r="AJ60" s="436"/>
      <c r="AK60" s="436"/>
      <c r="AL60" s="436"/>
      <c r="AM60" s="436"/>
      <c r="AN60" s="436"/>
      <c r="AO60" s="436"/>
      <c r="AP60" s="436"/>
      <c r="AQ60" s="436"/>
      <c r="AR60" s="436"/>
      <c r="AS60" s="436"/>
      <c r="AT60" s="436"/>
      <c r="AU60" s="436"/>
      <c r="AV60" s="436"/>
      <c r="AW60" s="436"/>
      <c r="AX60" s="436"/>
      <c r="AY60" s="436"/>
      <c r="AZ60" s="436"/>
      <c r="BA60" s="436"/>
      <c r="BB60" s="436"/>
      <c r="BC60" s="436"/>
      <c r="BD60" s="436"/>
      <c r="BE60" s="436"/>
      <c r="BF60" s="436"/>
      <c r="BG60" s="436"/>
      <c r="BH60" s="436"/>
      <c r="BI60" s="436"/>
      <c r="BJ60" s="436"/>
      <c r="BK60" s="436"/>
      <c r="BL60" s="436"/>
      <c r="BM60" s="436"/>
      <c r="BN60" s="436"/>
      <c r="BO60" s="436"/>
      <c r="BP60" s="436"/>
      <c r="BQ60" s="436"/>
      <c r="BR60" s="436"/>
      <c r="BS60" s="436"/>
      <c r="BT60" s="436"/>
      <c r="BU60" s="436"/>
      <c r="BV60" s="436"/>
      <c r="BW60" s="436"/>
      <c r="BX60" s="436"/>
      <c r="BY60" s="436"/>
      <c r="BZ60" s="436"/>
      <c r="CA60" s="436"/>
    </row>
    <row r="61" spans="1:79" s="50" customFormat="1" ht="14.95" customHeight="1" x14ac:dyDescent="0.2">
      <c r="A61" s="51"/>
      <c r="B61" s="170"/>
      <c r="C61" s="103"/>
      <c r="D61" s="123"/>
      <c r="E61" s="7"/>
      <c r="F61" s="7"/>
      <c r="G61" s="7"/>
      <c r="H61" s="1717"/>
      <c r="I61" s="2031">
        <f>H61*($H$58+100)/100</f>
        <v>0</v>
      </c>
      <c r="J61" s="163"/>
      <c r="K61" s="315"/>
      <c r="L61" s="225">
        <f>K61*I61</f>
        <v>0</v>
      </c>
      <c r="M61" s="315"/>
      <c r="N61" s="691">
        <f>M61*I61</f>
        <v>0</v>
      </c>
      <c r="O61" s="315"/>
      <c r="P61" s="225">
        <f>O61*I61</f>
        <v>0</v>
      </c>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c r="BP61" s="436"/>
      <c r="BQ61" s="436"/>
      <c r="BR61" s="436"/>
      <c r="BS61" s="436"/>
      <c r="BT61" s="436"/>
      <c r="BU61" s="436"/>
      <c r="BV61" s="436"/>
      <c r="BW61" s="436"/>
      <c r="BX61" s="436"/>
      <c r="BY61" s="436"/>
      <c r="BZ61" s="436"/>
      <c r="CA61" s="436"/>
    </row>
    <row r="62" spans="1:79" s="50" customFormat="1" ht="14.95" customHeight="1" x14ac:dyDescent="0.2">
      <c r="A62" s="52"/>
      <c r="B62" s="93"/>
      <c r="C62" s="105"/>
      <c r="D62" s="95" t="s">
        <v>553</v>
      </c>
      <c r="E62" s="106"/>
      <c r="F62" s="106"/>
      <c r="G62" s="106"/>
      <c r="H62" s="2099">
        <f>Lohnma.!$J$64</f>
        <v>3.5</v>
      </c>
      <c r="I62" s="1939">
        <f>H62*($H$58+100)/100</f>
        <v>4.165</v>
      </c>
      <c r="J62" s="36"/>
      <c r="K62" s="2034">
        <f>IF(K17=0,0,K33/$X$64)*$K$17</f>
        <v>0</v>
      </c>
      <c r="L62" s="250">
        <f>K62*I62</f>
        <v>0</v>
      </c>
      <c r="M62" s="2034">
        <f>IF(K17=0,0,M33/X64)*$K$17</f>
        <v>0</v>
      </c>
      <c r="N62" s="692">
        <f>M62*I62</f>
        <v>0</v>
      </c>
      <c r="O62" s="2034">
        <f>IF(K17=0,0,O33/X64)*$K$17</f>
        <v>0</v>
      </c>
      <c r="P62" s="250">
        <f>O62*I62</f>
        <v>0</v>
      </c>
      <c r="Q62" s="457"/>
      <c r="R62" s="436"/>
      <c r="S62" s="436"/>
      <c r="T62" s="436"/>
      <c r="U62" s="436"/>
      <c r="V62" s="1920" t="s">
        <v>276</v>
      </c>
      <c r="W62" s="436"/>
      <c r="X62" s="436" t="s">
        <v>540</v>
      </c>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36"/>
      <c r="AU62" s="436"/>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row>
    <row r="63" spans="1:79" s="96" customFormat="1" ht="16.5" customHeight="1" x14ac:dyDescent="0.2">
      <c r="A63" s="173"/>
      <c r="B63" s="175"/>
      <c r="C63" s="116"/>
      <c r="D63" s="117" t="s">
        <v>220</v>
      </c>
      <c r="E63" s="117"/>
      <c r="F63" s="117"/>
      <c r="G63" s="117"/>
      <c r="H63" s="8"/>
      <c r="I63" s="8"/>
      <c r="J63" s="302" t="s">
        <v>154</v>
      </c>
      <c r="K63" s="287"/>
      <c r="L63" s="267">
        <f>K64*$G64</f>
        <v>0</v>
      </c>
      <c r="M63" s="693"/>
      <c r="N63" s="651">
        <f>M64*$G64</f>
        <v>0</v>
      </c>
      <c r="O63" s="287"/>
      <c r="P63" s="267">
        <f>O64*$G64</f>
        <v>0</v>
      </c>
      <c r="Q63" s="437"/>
      <c r="R63" s="437"/>
      <c r="S63" s="437"/>
      <c r="T63" s="437"/>
      <c r="U63" s="437"/>
      <c r="V63" s="2032">
        <f>K7/100</f>
        <v>0.16</v>
      </c>
      <c r="W63" s="437"/>
      <c r="X63" s="437" t="s">
        <v>206</v>
      </c>
      <c r="Y63" s="437" t="s">
        <v>287</v>
      </c>
      <c r="Z63" s="437" t="s">
        <v>288</v>
      </c>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row>
    <row r="64" spans="1:79" s="96" customFormat="1" ht="14.95" customHeight="1" x14ac:dyDescent="0.2">
      <c r="A64" s="178"/>
      <c r="B64" s="179"/>
      <c r="C64" s="116"/>
      <c r="D64" s="142"/>
      <c r="E64" s="138"/>
      <c r="F64" s="139" t="s">
        <v>222</v>
      </c>
      <c r="G64" s="198"/>
      <c r="H64" s="143"/>
      <c r="I64" s="143"/>
      <c r="J64" s="298" t="s">
        <v>161</v>
      </c>
      <c r="K64" s="144"/>
      <c r="L64" s="288"/>
      <c r="M64" s="144"/>
      <c r="N64" s="668"/>
      <c r="O64" s="144"/>
      <c r="P64" s="288"/>
      <c r="Q64" s="437"/>
      <c r="R64" s="437"/>
      <c r="S64" s="437"/>
      <c r="T64" s="437"/>
      <c r="U64" s="437"/>
      <c r="V64" s="883" t="s">
        <v>492</v>
      </c>
      <c r="W64" s="437"/>
      <c r="X64" s="2092">
        <v>2.2400000000000002</v>
      </c>
      <c r="Y64" s="2092">
        <v>1.35</v>
      </c>
      <c r="Z64" s="2092">
        <v>4.8</v>
      </c>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row>
    <row r="65" spans="1:79" s="96" customFormat="1" ht="16.5" customHeight="1" x14ac:dyDescent="0.2">
      <c r="A65" s="173"/>
      <c r="B65" s="175"/>
      <c r="C65" s="145"/>
      <c r="D65" s="117" t="s">
        <v>448</v>
      </c>
      <c r="E65" s="117"/>
      <c r="F65" s="117"/>
      <c r="G65" s="117"/>
      <c r="H65" s="8"/>
      <c r="I65" s="8"/>
      <c r="J65" s="302" t="s">
        <v>154</v>
      </c>
      <c r="K65" s="289"/>
      <c r="L65" s="267">
        <f>K66*$H66/100</f>
        <v>0</v>
      </c>
      <c r="M65" s="1073"/>
      <c r="N65" s="651">
        <f>M66*$H66/100</f>
        <v>0</v>
      </c>
      <c r="O65" s="289"/>
      <c r="P65" s="267">
        <f>O66*$H66/100</f>
        <v>0</v>
      </c>
      <c r="Q65" s="437"/>
      <c r="R65" s="437"/>
      <c r="S65" s="437"/>
      <c r="T65" s="437"/>
      <c r="U65" s="437"/>
      <c r="V65" s="2033">
        <v>0.75</v>
      </c>
      <c r="W65" s="437"/>
      <c r="X65" s="2058" t="s">
        <v>309</v>
      </c>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row>
    <row r="66" spans="1:79" s="96" customFormat="1" ht="14.95" customHeight="1" x14ac:dyDescent="0.2">
      <c r="A66" s="178"/>
      <c r="B66" s="179"/>
      <c r="C66" s="162"/>
      <c r="D66" s="106" t="s">
        <v>449</v>
      </c>
      <c r="E66" s="138"/>
      <c r="F66" s="74"/>
      <c r="G66" s="139" t="s">
        <v>450</v>
      </c>
      <c r="H66" s="420"/>
      <c r="I66" s="74"/>
      <c r="J66" s="303" t="s">
        <v>154</v>
      </c>
      <c r="K66" s="322"/>
      <c r="L66" s="705"/>
      <c r="M66" s="322"/>
      <c r="N66" s="705"/>
      <c r="O66" s="322"/>
      <c r="P66" s="290"/>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row>
    <row r="67" spans="1:79" ht="16.5" customHeight="1" x14ac:dyDescent="0.2">
      <c r="A67" s="166" t="s">
        <v>223</v>
      </c>
      <c r="B67" s="97"/>
      <c r="C67" s="2"/>
      <c r="D67" s="54" t="s">
        <v>451</v>
      </c>
      <c r="E67" s="3"/>
      <c r="F67" s="3"/>
      <c r="G67" s="242"/>
      <c r="H67" s="1101" t="s">
        <v>154</v>
      </c>
      <c r="I67" s="1098" t="s">
        <v>428</v>
      </c>
      <c r="J67" s="302"/>
      <c r="K67" s="272"/>
      <c r="L67" s="635">
        <f>SUM(L68:L69)</f>
        <v>0</v>
      </c>
      <c r="M67" s="694"/>
      <c r="N67" s="651">
        <f>SUM(N68:N69)</f>
        <v>0</v>
      </c>
      <c r="O67" s="272"/>
      <c r="P67" s="267">
        <f>SUM(P68:P69)</f>
        <v>0</v>
      </c>
      <c r="Q67" s="958"/>
    </row>
    <row r="68" spans="1:79" s="50" customFormat="1" ht="14.95" customHeight="1" x14ac:dyDescent="0.2">
      <c r="A68" s="51" t="s">
        <v>282</v>
      </c>
      <c r="B68" s="759"/>
      <c r="C68" s="103"/>
      <c r="D68" s="132">
        <f>IF($B68=0,0,VLOOKUP($B68,Preise!$B$43:'Preise'!$M$48,2))</f>
        <v>0</v>
      </c>
      <c r="E68" s="8"/>
      <c r="F68" s="104"/>
      <c r="G68" s="104"/>
      <c r="H68" s="1102"/>
      <c r="I68" s="1099">
        <f>IF($B68=0,0,VLOOKUP($B68,Preise!$B$43:$M$48,12))</f>
        <v>0</v>
      </c>
      <c r="J68" s="141"/>
      <c r="K68" s="969"/>
      <c r="L68" s="588">
        <f>$I$68</f>
        <v>0</v>
      </c>
      <c r="M68" s="969"/>
      <c r="N68" s="695">
        <f>$I$68</f>
        <v>0</v>
      </c>
      <c r="O68" s="969"/>
      <c r="P68" s="588">
        <f>$I$68</f>
        <v>0</v>
      </c>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BB68" s="436"/>
      <c r="BC68" s="436"/>
      <c r="BD68" s="436"/>
      <c r="BE68" s="436"/>
      <c r="BF68" s="436"/>
      <c r="BG68" s="436"/>
      <c r="BH68" s="436"/>
      <c r="BI68" s="436"/>
      <c r="BJ68" s="436"/>
      <c r="BK68" s="436"/>
      <c r="BL68" s="436"/>
      <c r="BM68" s="436"/>
      <c r="BN68" s="436"/>
      <c r="BO68" s="436"/>
      <c r="BP68" s="436"/>
      <c r="BQ68" s="436"/>
      <c r="BR68" s="436"/>
      <c r="BS68" s="436"/>
      <c r="BT68" s="436"/>
      <c r="BU68" s="436"/>
      <c r="BV68" s="436"/>
      <c r="BW68" s="436"/>
      <c r="BX68" s="436"/>
      <c r="BY68" s="436"/>
      <c r="BZ68" s="436"/>
      <c r="CA68" s="436"/>
    </row>
    <row r="69" spans="1:79" s="50" customFormat="1" ht="14.95" customHeight="1" x14ac:dyDescent="0.2">
      <c r="A69" s="52"/>
      <c r="B69" s="701"/>
      <c r="C69" s="147"/>
      <c r="D69" s="761"/>
      <c r="E69" s="8"/>
      <c r="F69" s="148"/>
      <c r="G69" s="148"/>
      <c r="H69" s="1100"/>
      <c r="I69" s="636">
        <f>H69*(100+Preise!$M$11)/100</f>
        <v>0</v>
      </c>
      <c r="J69" s="141"/>
      <c r="K69" s="640"/>
      <c r="L69" s="642"/>
      <c r="M69" s="641"/>
      <c r="N69" s="642"/>
      <c r="O69" s="641"/>
      <c r="P69" s="642"/>
      <c r="Q69" s="436"/>
      <c r="R69" s="436"/>
      <c r="S69" s="436"/>
      <c r="T69" s="436"/>
      <c r="U69" s="436"/>
      <c r="V69" s="436"/>
      <c r="W69" s="436"/>
      <c r="X69" s="436"/>
      <c r="Y69" s="436"/>
      <c r="Z69" s="436"/>
      <c r="AA69" s="436"/>
      <c r="AB69" s="436"/>
      <c r="AC69" s="436"/>
      <c r="AD69" s="436"/>
      <c r="AE69" s="436"/>
      <c r="AF69" s="436"/>
      <c r="AG69" s="436"/>
      <c r="AH69" s="436"/>
      <c r="AI69" s="436"/>
      <c r="AJ69" s="436"/>
      <c r="AK69" s="436"/>
      <c r="AL69" s="436"/>
      <c r="AM69" s="436"/>
      <c r="AN69" s="436"/>
      <c r="AO69" s="436"/>
      <c r="AP69" s="436"/>
      <c r="AQ69" s="436"/>
      <c r="AR69" s="436"/>
      <c r="AS69" s="436"/>
      <c r="AT69" s="436"/>
      <c r="AU69" s="436"/>
      <c r="AV69" s="436"/>
      <c r="AW69" s="436"/>
      <c r="AX69" s="436"/>
      <c r="AY69" s="436"/>
      <c r="AZ69" s="436"/>
      <c r="BA69" s="436"/>
      <c r="BB69" s="436"/>
      <c r="BC69" s="436"/>
      <c r="BD69" s="436"/>
      <c r="BE69" s="436"/>
      <c r="BF69" s="436"/>
      <c r="BG69" s="436"/>
      <c r="BH69" s="436"/>
      <c r="BI69" s="436"/>
      <c r="BJ69" s="436"/>
      <c r="BK69" s="436"/>
      <c r="BL69" s="436"/>
      <c r="BM69" s="436"/>
      <c r="BN69" s="436"/>
      <c r="BO69" s="436"/>
      <c r="BP69" s="436"/>
      <c r="BQ69" s="436"/>
      <c r="BR69" s="436"/>
      <c r="BS69" s="436"/>
      <c r="BT69" s="436"/>
      <c r="BU69" s="436"/>
      <c r="BV69" s="436"/>
      <c r="BW69" s="436"/>
      <c r="BX69" s="436"/>
      <c r="BY69" s="436"/>
      <c r="BZ69" s="436"/>
      <c r="CA69" s="436"/>
    </row>
    <row r="70" spans="1:79" s="96" customFormat="1" ht="16.5" customHeight="1" x14ac:dyDescent="0.2">
      <c r="A70" s="178"/>
      <c r="B70" s="179"/>
      <c r="C70" s="149"/>
      <c r="D70" s="150" t="s">
        <v>295</v>
      </c>
      <c r="E70" s="150"/>
      <c r="F70" s="151"/>
      <c r="G70" s="151"/>
      <c r="H70" s="151"/>
      <c r="I70" s="151"/>
      <c r="J70" s="384"/>
      <c r="K70" s="637" t="s">
        <v>365</v>
      </c>
      <c r="L70" s="638">
        <f>Preise!M32</f>
        <v>1.5</v>
      </c>
      <c r="M70" s="36"/>
      <c r="N70" s="36"/>
      <c r="O70" s="139" t="s">
        <v>430</v>
      </c>
      <c r="P70" s="639">
        <v>5</v>
      </c>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7"/>
      <c r="AZ70" s="437"/>
      <c r="BA70" s="437"/>
      <c r="BB70" s="437"/>
      <c r="BC70" s="437"/>
      <c r="BD70" s="437"/>
      <c r="BE70" s="437"/>
      <c r="BF70" s="437"/>
      <c r="BG70" s="437"/>
      <c r="BH70" s="437"/>
      <c r="BI70" s="437"/>
      <c r="BJ70" s="437"/>
      <c r="BK70" s="437"/>
      <c r="BL70" s="437"/>
      <c r="BM70" s="437"/>
      <c r="BN70" s="437"/>
      <c r="BO70" s="437"/>
      <c r="BP70" s="437"/>
      <c r="BQ70" s="437"/>
      <c r="BR70" s="437"/>
      <c r="BS70" s="437"/>
      <c r="BT70" s="437"/>
      <c r="BU70" s="437"/>
      <c r="BV70" s="437"/>
      <c r="BW70" s="437"/>
      <c r="BX70" s="437"/>
      <c r="BY70" s="437"/>
      <c r="BZ70" s="437"/>
      <c r="CA70" s="437"/>
    </row>
    <row r="73" spans="1:79" x14ac:dyDescent="0.2">
      <c r="P73"/>
    </row>
  </sheetData>
  <customSheetViews>
    <customSheetView guid="{32760361-675F-4FBF-A5CA-B0597C10371F}" scale="90" showGridLines="0" zeroValues="0" fitToPage="1" state="hidden">
      <pane xSplit="10" ySplit="5" topLeftCell="K6" activePane="bottomRight" state="frozen"/>
      <selection pane="bottomRight" activeCell="H63" sqref="H63"/>
      <pageMargins left="0.31496062992125984" right="0.27559055118110237" top="0.55118110236220474" bottom="0.9055118110236221" header="0.51181102362204722" footer="0.31496062992125984"/>
      <printOptions horizontalCentered="1"/>
      <pageSetup paperSize="9" scale="69" firstPageNumber="15" orientation="portrait" horizontalDpi="300" verticalDpi="300" r:id="rId1"/>
      <headerFooter alignWithMargins="0">
        <oddFooter>&amp;L&amp;12LEL Schwäbisch Gmünd (Abtlg. II)
LAZBW Aulendorf&amp;C&amp;12 52&amp;9
&amp;R&amp;12&amp;F
&amp;A</oddFooter>
      </headerFooter>
    </customSheetView>
  </customSheetViews>
  <mergeCells count="3">
    <mergeCell ref="M2:P2"/>
    <mergeCell ref="H3:P3"/>
    <mergeCell ref="B1:F1"/>
  </mergeCells>
  <phoneticPr fontId="0" type="noConversion"/>
  <hyperlinks>
    <hyperlink ref="B1:F1" location="Inhalt!A1:A10" display="zurück zum Inhaltsverzeichnis"/>
  </hyperlinks>
  <printOptions horizontalCentered="1"/>
  <pageMargins left="0.31496062992125984" right="0.27559055118110237" top="0.55118110236220474" bottom="0.9055118110236221" header="0.51181102362204722" footer="0.31496062992125984"/>
  <pageSetup paperSize="9" scale="69" firstPageNumber="15" orientation="portrait" horizontalDpi="300" verticalDpi="300" r:id="rId2"/>
  <headerFooter alignWithMargins="0">
    <oddFooter>&amp;L&amp;12LEL Schwäbisch Gmünd (Abtlg. II)
LAZBW Aulendorf&amp;C&amp;12 52&amp;9
&amp;R&amp;12&amp;F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
              <controlPr defaultSize="0" print="0" autoFill="0" autoLine="0" autoPict="0">
                <anchor moveWithCells="1">
                  <from>
                    <xdr:col>11</xdr:col>
                    <xdr:colOff>60385</xdr:colOff>
                    <xdr:row>17</xdr:row>
                    <xdr:rowOff>172528</xdr:rowOff>
                  </from>
                  <to>
                    <xdr:col>11</xdr:col>
                    <xdr:colOff>345057</xdr:colOff>
                    <xdr:row>19</xdr:row>
                    <xdr:rowOff>0</xdr:rowOff>
                  </to>
                </anchor>
              </controlPr>
            </control>
          </mc:Choice>
        </mc:AlternateContent>
        <mc:AlternateContent xmlns:mc="http://schemas.openxmlformats.org/markup-compatibility/2006">
          <mc:Choice Requires="x14">
            <control shapeId="16386" r:id="rId6" name="Check Box 2">
              <controlPr defaultSize="0" print="0" autoFill="0" autoLine="0" autoPict="0">
                <anchor moveWithCells="1">
                  <from>
                    <xdr:col>11</xdr:col>
                    <xdr:colOff>60385</xdr:colOff>
                    <xdr:row>18</xdr:row>
                    <xdr:rowOff>172528</xdr:rowOff>
                  </from>
                  <to>
                    <xdr:col>11</xdr:col>
                    <xdr:colOff>345057</xdr:colOff>
                    <xdr:row>20</xdr:row>
                    <xdr:rowOff>8626</xdr:rowOff>
                  </to>
                </anchor>
              </controlPr>
            </control>
          </mc:Choice>
        </mc:AlternateContent>
        <mc:AlternateContent xmlns:mc="http://schemas.openxmlformats.org/markup-compatibility/2006">
          <mc:Choice Requires="x14">
            <control shapeId="16387" r:id="rId7" name="Check Box 3">
              <controlPr defaultSize="0" print="0" autoFill="0" autoLine="0" autoPict="0">
                <anchor moveWithCells="1">
                  <from>
                    <xdr:col>11</xdr:col>
                    <xdr:colOff>60385</xdr:colOff>
                    <xdr:row>19</xdr:row>
                    <xdr:rowOff>172528</xdr:rowOff>
                  </from>
                  <to>
                    <xdr:col>11</xdr:col>
                    <xdr:colOff>345057</xdr:colOff>
                    <xdr:row>21</xdr:row>
                    <xdr:rowOff>8626</xdr:rowOff>
                  </to>
                </anchor>
              </controlPr>
            </control>
          </mc:Choice>
        </mc:AlternateContent>
        <mc:AlternateContent xmlns:mc="http://schemas.openxmlformats.org/markup-compatibility/2006">
          <mc:Choice Requires="x14">
            <control shapeId="16388" r:id="rId8" name="Check Box 4">
              <controlPr defaultSize="0" print="0" autoFill="0" autoLine="0" autoPict="0">
                <anchor moveWithCells="1">
                  <from>
                    <xdr:col>11</xdr:col>
                    <xdr:colOff>60385</xdr:colOff>
                    <xdr:row>20</xdr:row>
                    <xdr:rowOff>172528</xdr:rowOff>
                  </from>
                  <to>
                    <xdr:col>11</xdr:col>
                    <xdr:colOff>345057</xdr:colOff>
                    <xdr:row>22</xdr:row>
                    <xdr:rowOff>8626</xdr:rowOff>
                  </to>
                </anchor>
              </controlPr>
            </control>
          </mc:Choice>
        </mc:AlternateContent>
        <mc:AlternateContent xmlns:mc="http://schemas.openxmlformats.org/markup-compatibility/2006">
          <mc:Choice Requires="x14">
            <control shapeId="16389" r:id="rId9" name="Check Box 5">
              <controlPr defaultSize="0" print="0" autoFill="0" autoLine="0" autoPict="0">
                <anchor moveWithCells="1">
                  <from>
                    <xdr:col>11</xdr:col>
                    <xdr:colOff>60385</xdr:colOff>
                    <xdr:row>21</xdr:row>
                    <xdr:rowOff>172528</xdr:rowOff>
                  </from>
                  <to>
                    <xdr:col>11</xdr:col>
                    <xdr:colOff>345057</xdr:colOff>
                    <xdr:row>23</xdr:row>
                    <xdr:rowOff>8626</xdr:rowOff>
                  </to>
                </anchor>
              </controlPr>
            </control>
          </mc:Choice>
        </mc:AlternateContent>
        <mc:AlternateContent xmlns:mc="http://schemas.openxmlformats.org/markup-compatibility/2006">
          <mc:Choice Requires="x14">
            <control shapeId="16390" r:id="rId10" name="Check Box 6">
              <controlPr defaultSize="0" print="0" autoFill="0" autoLine="0" autoPict="0">
                <anchor moveWithCells="1">
                  <from>
                    <xdr:col>13</xdr:col>
                    <xdr:colOff>60385</xdr:colOff>
                    <xdr:row>17</xdr:row>
                    <xdr:rowOff>172528</xdr:rowOff>
                  </from>
                  <to>
                    <xdr:col>13</xdr:col>
                    <xdr:colOff>345057</xdr:colOff>
                    <xdr:row>19</xdr:row>
                    <xdr:rowOff>0</xdr:rowOff>
                  </to>
                </anchor>
              </controlPr>
            </control>
          </mc:Choice>
        </mc:AlternateContent>
        <mc:AlternateContent xmlns:mc="http://schemas.openxmlformats.org/markup-compatibility/2006">
          <mc:Choice Requires="x14">
            <control shapeId="16391" r:id="rId11" name="Check Box 7">
              <controlPr defaultSize="0" print="0" autoFill="0" autoLine="0" autoPict="0">
                <anchor moveWithCells="1">
                  <from>
                    <xdr:col>13</xdr:col>
                    <xdr:colOff>60385</xdr:colOff>
                    <xdr:row>18</xdr:row>
                    <xdr:rowOff>172528</xdr:rowOff>
                  </from>
                  <to>
                    <xdr:col>13</xdr:col>
                    <xdr:colOff>345057</xdr:colOff>
                    <xdr:row>20</xdr:row>
                    <xdr:rowOff>8626</xdr:rowOff>
                  </to>
                </anchor>
              </controlPr>
            </control>
          </mc:Choice>
        </mc:AlternateContent>
        <mc:AlternateContent xmlns:mc="http://schemas.openxmlformats.org/markup-compatibility/2006">
          <mc:Choice Requires="x14">
            <control shapeId="16392" r:id="rId12" name="Check Box 8">
              <controlPr defaultSize="0" print="0" autoFill="0" autoLine="0" autoPict="0">
                <anchor moveWithCells="1">
                  <from>
                    <xdr:col>13</xdr:col>
                    <xdr:colOff>60385</xdr:colOff>
                    <xdr:row>19</xdr:row>
                    <xdr:rowOff>172528</xdr:rowOff>
                  </from>
                  <to>
                    <xdr:col>13</xdr:col>
                    <xdr:colOff>345057</xdr:colOff>
                    <xdr:row>21</xdr:row>
                    <xdr:rowOff>8626</xdr:rowOff>
                  </to>
                </anchor>
              </controlPr>
            </control>
          </mc:Choice>
        </mc:AlternateContent>
        <mc:AlternateContent xmlns:mc="http://schemas.openxmlformats.org/markup-compatibility/2006">
          <mc:Choice Requires="x14">
            <control shapeId="16393" r:id="rId13" name="Check Box 9">
              <controlPr defaultSize="0" print="0" autoFill="0" autoLine="0" autoPict="0">
                <anchor moveWithCells="1">
                  <from>
                    <xdr:col>13</xdr:col>
                    <xdr:colOff>60385</xdr:colOff>
                    <xdr:row>20</xdr:row>
                    <xdr:rowOff>172528</xdr:rowOff>
                  </from>
                  <to>
                    <xdr:col>13</xdr:col>
                    <xdr:colOff>345057</xdr:colOff>
                    <xdr:row>22</xdr:row>
                    <xdr:rowOff>8626</xdr:rowOff>
                  </to>
                </anchor>
              </controlPr>
            </control>
          </mc:Choice>
        </mc:AlternateContent>
        <mc:AlternateContent xmlns:mc="http://schemas.openxmlformats.org/markup-compatibility/2006">
          <mc:Choice Requires="x14">
            <control shapeId="16394" r:id="rId14" name="Check Box 10">
              <controlPr defaultSize="0" print="0" autoFill="0" autoLine="0" autoPict="0">
                <anchor moveWithCells="1">
                  <from>
                    <xdr:col>13</xdr:col>
                    <xdr:colOff>60385</xdr:colOff>
                    <xdr:row>21</xdr:row>
                    <xdr:rowOff>172528</xdr:rowOff>
                  </from>
                  <to>
                    <xdr:col>13</xdr:col>
                    <xdr:colOff>345057</xdr:colOff>
                    <xdr:row>23</xdr:row>
                    <xdr:rowOff>8626</xdr:rowOff>
                  </to>
                </anchor>
              </controlPr>
            </control>
          </mc:Choice>
        </mc:AlternateContent>
        <mc:AlternateContent xmlns:mc="http://schemas.openxmlformats.org/markup-compatibility/2006">
          <mc:Choice Requires="x14">
            <control shapeId="16395" r:id="rId15" name="Check Box 11">
              <controlPr defaultSize="0" print="0" autoFill="0" autoLine="0" autoPict="0">
                <anchor moveWithCells="1">
                  <from>
                    <xdr:col>15</xdr:col>
                    <xdr:colOff>60385</xdr:colOff>
                    <xdr:row>17</xdr:row>
                    <xdr:rowOff>172528</xdr:rowOff>
                  </from>
                  <to>
                    <xdr:col>15</xdr:col>
                    <xdr:colOff>345057</xdr:colOff>
                    <xdr:row>19</xdr:row>
                    <xdr:rowOff>0</xdr:rowOff>
                  </to>
                </anchor>
              </controlPr>
            </control>
          </mc:Choice>
        </mc:AlternateContent>
        <mc:AlternateContent xmlns:mc="http://schemas.openxmlformats.org/markup-compatibility/2006">
          <mc:Choice Requires="x14">
            <control shapeId="16396" r:id="rId16" name="Check Box 12">
              <controlPr defaultSize="0" print="0" autoFill="0" autoLine="0" autoPict="0">
                <anchor moveWithCells="1">
                  <from>
                    <xdr:col>15</xdr:col>
                    <xdr:colOff>60385</xdr:colOff>
                    <xdr:row>18</xdr:row>
                    <xdr:rowOff>172528</xdr:rowOff>
                  </from>
                  <to>
                    <xdr:col>15</xdr:col>
                    <xdr:colOff>345057</xdr:colOff>
                    <xdr:row>20</xdr:row>
                    <xdr:rowOff>8626</xdr:rowOff>
                  </to>
                </anchor>
              </controlPr>
            </control>
          </mc:Choice>
        </mc:AlternateContent>
        <mc:AlternateContent xmlns:mc="http://schemas.openxmlformats.org/markup-compatibility/2006">
          <mc:Choice Requires="x14">
            <control shapeId="16397" r:id="rId17" name="Check Box 13">
              <controlPr defaultSize="0" print="0" autoFill="0" autoLine="0" autoPict="0">
                <anchor moveWithCells="1">
                  <from>
                    <xdr:col>15</xdr:col>
                    <xdr:colOff>60385</xdr:colOff>
                    <xdr:row>19</xdr:row>
                    <xdr:rowOff>172528</xdr:rowOff>
                  </from>
                  <to>
                    <xdr:col>15</xdr:col>
                    <xdr:colOff>345057</xdr:colOff>
                    <xdr:row>21</xdr:row>
                    <xdr:rowOff>8626</xdr:rowOff>
                  </to>
                </anchor>
              </controlPr>
            </control>
          </mc:Choice>
        </mc:AlternateContent>
        <mc:AlternateContent xmlns:mc="http://schemas.openxmlformats.org/markup-compatibility/2006">
          <mc:Choice Requires="x14">
            <control shapeId="16398" r:id="rId18" name="Check Box 14">
              <controlPr defaultSize="0" print="0" autoFill="0" autoLine="0" autoPict="0">
                <anchor moveWithCells="1">
                  <from>
                    <xdr:col>15</xdr:col>
                    <xdr:colOff>60385</xdr:colOff>
                    <xdr:row>20</xdr:row>
                    <xdr:rowOff>172528</xdr:rowOff>
                  </from>
                  <to>
                    <xdr:col>15</xdr:col>
                    <xdr:colOff>345057</xdr:colOff>
                    <xdr:row>22</xdr:row>
                    <xdr:rowOff>8626</xdr:rowOff>
                  </to>
                </anchor>
              </controlPr>
            </control>
          </mc:Choice>
        </mc:AlternateContent>
        <mc:AlternateContent xmlns:mc="http://schemas.openxmlformats.org/markup-compatibility/2006">
          <mc:Choice Requires="x14">
            <control shapeId="16399" r:id="rId19" name="Check Box 15">
              <controlPr defaultSize="0" print="0" autoFill="0" autoLine="0" autoPict="0">
                <anchor moveWithCells="1">
                  <from>
                    <xdr:col>15</xdr:col>
                    <xdr:colOff>60385</xdr:colOff>
                    <xdr:row>21</xdr:row>
                    <xdr:rowOff>172528</xdr:rowOff>
                  </from>
                  <to>
                    <xdr:col>15</xdr:col>
                    <xdr:colOff>345057</xdr:colOff>
                    <xdr:row>23</xdr:row>
                    <xdr:rowOff>8626</xdr:rowOff>
                  </to>
                </anchor>
              </controlPr>
            </control>
          </mc:Choice>
        </mc:AlternateContent>
        <mc:AlternateContent xmlns:mc="http://schemas.openxmlformats.org/markup-compatibility/2006">
          <mc:Choice Requires="x14">
            <control shapeId="16400" r:id="rId20" name="Drop Down 16">
              <controlPr defaultSize="0" autoLine="0" autoPict="0">
                <anchor moveWithCells="1">
                  <from>
                    <xdr:col>2</xdr:col>
                    <xdr:colOff>8626</xdr:colOff>
                    <xdr:row>44</xdr:row>
                    <xdr:rowOff>0</xdr:rowOff>
                  </from>
                  <to>
                    <xdr:col>6</xdr:col>
                    <xdr:colOff>655608</xdr:colOff>
                    <xdr:row>45</xdr:row>
                    <xdr:rowOff>25879</xdr:rowOff>
                  </to>
                </anchor>
              </controlPr>
            </control>
          </mc:Choice>
        </mc:AlternateContent>
        <mc:AlternateContent xmlns:mc="http://schemas.openxmlformats.org/markup-compatibility/2006">
          <mc:Choice Requires="x14">
            <control shapeId="16401" r:id="rId21" name="Drop Down 17">
              <controlPr defaultSize="0" autoLine="0" autoPict="0">
                <anchor moveWithCells="1">
                  <from>
                    <xdr:col>2</xdr:col>
                    <xdr:colOff>8626</xdr:colOff>
                    <xdr:row>45</xdr:row>
                    <xdr:rowOff>0</xdr:rowOff>
                  </from>
                  <to>
                    <xdr:col>6</xdr:col>
                    <xdr:colOff>655608</xdr:colOff>
                    <xdr:row>46</xdr:row>
                    <xdr:rowOff>25879</xdr:rowOff>
                  </to>
                </anchor>
              </controlPr>
            </control>
          </mc:Choice>
        </mc:AlternateContent>
        <mc:AlternateContent xmlns:mc="http://schemas.openxmlformats.org/markup-compatibility/2006">
          <mc:Choice Requires="x14">
            <control shapeId="16402" r:id="rId22" name="Drop Down 18">
              <controlPr defaultSize="0" autoLine="0" autoPict="0">
                <anchor moveWithCells="1">
                  <from>
                    <xdr:col>2</xdr:col>
                    <xdr:colOff>8626</xdr:colOff>
                    <xdr:row>46</xdr:row>
                    <xdr:rowOff>8626</xdr:rowOff>
                  </from>
                  <to>
                    <xdr:col>6</xdr:col>
                    <xdr:colOff>655608</xdr:colOff>
                    <xdr:row>47</xdr:row>
                    <xdr:rowOff>25879</xdr:rowOff>
                  </to>
                </anchor>
              </controlPr>
            </control>
          </mc:Choice>
        </mc:AlternateContent>
        <mc:AlternateContent xmlns:mc="http://schemas.openxmlformats.org/markup-compatibility/2006">
          <mc:Choice Requires="x14">
            <control shapeId="16403" r:id="rId23" name="Drop Down 19">
              <controlPr defaultSize="0" autoLine="0" autoPict="0">
                <anchor moveWithCells="1">
                  <from>
                    <xdr:col>2</xdr:col>
                    <xdr:colOff>8626</xdr:colOff>
                    <xdr:row>47</xdr:row>
                    <xdr:rowOff>8626</xdr:rowOff>
                  </from>
                  <to>
                    <xdr:col>6</xdr:col>
                    <xdr:colOff>655608</xdr:colOff>
                    <xdr:row>48</xdr:row>
                    <xdr:rowOff>25879</xdr:rowOff>
                  </to>
                </anchor>
              </controlPr>
            </control>
          </mc:Choice>
        </mc:AlternateContent>
        <mc:AlternateContent xmlns:mc="http://schemas.openxmlformats.org/markup-compatibility/2006">
          <mc:Choice Requires="x14">
            <control shapeId="16404" r:id="rId24" name="Drop Down 20">
              <controlPr defaultSize="0" autoLine="0" autoPict="0">
                <anchor moveWithCells="1">
                  <from>
                    <xdr:col>2</xdr:col>
                    <xdr:colOff>8626</xdr:colOff>
                    <xdr:row>48</xdr:row>
                    <xdr:rowOff>8626</xdr:rowOff>
                  </from>
                  <to>
                    <xdr:col>6</xdr:col>
                    <xdr:colOff>655608</xdr:colOff>
                    <xdr:row>49</xdr:row>
                    <xdr:rowOff>25879</xdr:rowOff>
                  </to>
                </anchor>
              </controlPr>
            </control>
          </mc:Choice>
        </mc:AlternateContent>
        <mc:AlternateContent xmlns:mc="http://schemas.openxmlformats.org/markup-compatibility/2006">
          <mc:Choice Requires="x14">
            <control shapeId="16405" r:id="rId25" name="Drop Down 21">
              <controlPr defaultSize="0" autoLine="0" autoPict="0">
                <anchor moveWithCells="1">
                  <from>
                    <xdr:col>2</xdr:col>
                    <xdr:colOff>8626</xdr:colOff>
                    <xdr:row>49</xdr:row>
                    <xdr:rowOff>8626</xdr:rowOff>
                  </from>
                  <to>
                    <xdr:col>6</xdr:col>
                    <xdr:colOff>655608</xdr:colOff>
                    <xdr:row>50</xdr:row>
                    <xdr:rowOff>25879</xdr:rowOff>
                  </to>
                </anchor>
              </controlPr>
            </control>
          </mc:Choice>
        </mc:AlternateContent>
        <mc:AlternateContent xmlns:mc="http://schemas.openxmlformats.org/markup-compatibility/2006">
          <mc:Choice Requires="x14">
            <control shapeId="16406" r:id="rId26" name="Drop Down 22">
              <controlPr defaultSize="0" autoLine="0" autoPict="0">
                <anchor moveWithCells="1">
                  <from>
                    <xdr:col>2</xdr:col>
                    <xdr:colOff>8626</xdr:colOff>
                    <xdr:row>50</xdr:row>
                    <xdr:rowOff>25879</xdr:rowOff>
                  </from>
                  <to>
                    <xdr:col>6</xdr:col>
                    <xdr:colOff>655608</xdr:colOff>
                    <xdr:row>51</xdr:row>
                    <xdr:rowOff>34506</xdr:rowOff>
                  </to>
                </anchor>
              </controlPr>
            </control>
          </mc:Choice>
        </mc:AlternateContent>
        <mc:AlternateContent xmlns:mc="http://schemas.openxmlformats.org/markup-compatibility/2006">
          <mc:Choice Requires="x14">
            <control shapeId="16407" r:id="rId27" name="Drop Down 23">
              <controlPr defaultSize="0" autoLine="0" autoPict="0">
                <anchor moveWithCells="1">
                  <from>
                    <xdr:col>2</xdr:col>
                    <xdr:colOff>8626</xdr:colOff>
                    <xdr:row>51</xdr:row>
                    <xdr:rowOff>25879</xdr:rowOff>
                  </from>
                  <to>
                    <xdr:col>6</xdr:col>
                    <xdr:colOff>655608</xdr:colOff>
                    <xdr:row>52</xdr:row>
                    <xdr:rowOff>34506</xdr:rowOff>
                  </to>
                </anchor>
              </controlPr>
            </control>
          </mc:Choice>
        </mc:AlternateContent>
        <mc:AlternateContent xmlns:mc="http://schemas.openxmlformats.org/markup-compatibility/2006">
          <mc:Choice Requires="x14">
            <control shapeId="16408" r:id="rId28" name="Drop Down 24">
              <controlPr defaultSize="0" autoLine="0" autoPict="0">
                <anchor moveWithCells="1">
                  <from>
                    <xdr:col>2</xdr:col>
                    <xdr:colOff>8626</xdr:colOff>
                    <xdr:row>52</xdr:row>
                    <xdr:rowOff>25879</xdr:rowOff>
                  </from>
                  <to>
                    <xdr:col>6</xdr:col>
                    <xdr:colOff>655608</xdr:colOff>
                    <xdr:row>53</xdr:row>
                    <xdr:rowOff>34506</xdr:rowOff>
                  </to>
                </anchor>
              </controlPr>
            </control>
          </mc:Choice>
        </mc:AlternateContent>
        <mc:AlternateContent xmlns:mc="http://schemas.openxmlformats.org/markup-compatibility/2006">
          <mc:Choice Requires="x14">
            <control shapeId="16409" r:id="rId29" name="Drop Down 25">
              <controlPr defaultSize="0" autoLine="0" autoPict="0">
                <anchor moveWithCells="1">
                  <from>
                    <xdr:col>2</xdr:col>
                    <xdr:colOff>8626</xdr:colOff>
                    <xdr:row>53</xdr:row>
                    <xdr:rowOff>8626</xdr:rowOff>
                  </from>
                  <to>
                    <xdr:col>6</xdr:col>
                    <xdr:colOff>655608</xdr:colOff>
                    <xdr:row>54</xdr:row>
                    <xdr:rowOff>25879</xdr:rowOff>
                  </to>
                </anchor>
              </controlPr>
            </control>
          </mc:Choice>
        </mc:AlternateContent>
        <mc:AlternateContent xmlns:mc="http://schemas.openxmlformats.org/markup-compatibility/2006">
          <mc:Choice Requires="x14">
            <control shapeId="16410" r:id="rId30" name="Drop Down 26">
              <controlPr defaultSize="0" autoLine="0" autoPict="0">
                <anchor moveWithCells="1">
                  <from>
                    <xdr:col>2</xdr:col>
                    <xdr:colOff>8626</xdr:colOff>
                    <xdr:row>54</xdr:row>
                    <xdr:rowOff>8626</xdr:rowOff>
                  </from>
                  <to>
                    <xdr:col>6</xdr:col>
                    <xdr:colOff>655608</xdr:colOff>
                    <xdr:row>55</xdr:row>
                    <xdr:rowOff>25879</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FFFF00"/>
    <pageSetUpPr fitToPage="1"/>
  </sheetPr>
  <dimension ref="A1:BP91"/>
  <sheetViews>
    <sheetView showGridLines="0" showZeros="0" zoomScale="80" zoomScaleNormal="80" workbookViewId="0">
      <pane xSplit="12" ySplit="6" topLeftCell="M7" activePane="bottomRight" state="frozen"/>
      <selection activeCell="H63" sqref="H63"/>
      <selection pane="topRight" activeCell="H63" sqref="H63"/>
      <selection pane="bottomLeft" activeCell="H63" sqref="H63"/>
      <selection pane="bottomRight" activeCell="H63" sqref="H63"/>
    </sheetView>
  </sheetViews>
  <sheetFormatPr baseColWidth="10" defaultColWidth="11.375" defaultRowHeight="13.6" x14ac:dyDescent="0.2"/>
  <cols>
    <col min="1" max="1" width="2.125" style="7" customWidth="1"/>
    <col min="2" max="2" width="3.375" style="7" customWidth="1"/>
    <col min="3" max="3" width="3.125" style="7" customWidth="1"/>
    <col min="4" max="4" width="1.625" style="7" customWidth="1"/>
    <col min="5" max="5" width="10.625" style="7" customWidth="1"/>
    <col min="6" max="6" width="12.125" style="7" customWidth="1"/>
    <col min="7" max="8" width="4.625" style="7" customWidth="1"/>
    <col min="9" max="9" width="9.375" style="7" customWidth="1"/>
    <col min="10" max="10" width="10.375" style="7" customWidth="1"/>
    <col min="11" max="11" width="11.375" style="7" customWidth="1"/>
    <col min="12" max="12" width="10.375" style="299" customWidth="1"/>
    <col min="13" max="15" width="13.375" style="7" customWidth="1"/>
    <col min="16" max="16" width="10.375" style="7" customWidth="1"/>
    <col min="17" max="29" width="11.375" style="7"/>
    <col min="30" max="30" width="8.625" style="7" customWidth="1"/>
    <col min="31" max="31" width="12.375" style="7" customWidth="1"/>
    <col min="32" max="32" width="12.625" style="7" customWidth="1"/>
    <col min="33" max="33" width="12.875" style="7" customWidth="1"/>
    <col min="34" max="34" width="3.625" style="7" customWidth="1"/>
    <col min="35" max="35" width="12.625" style="41" customWidth="1"/>
    <col min="36" max="39" width="12.625" style="7" customWidth="1"/>
    <col min="40" max="40" width="2.125" style="7" customWidth="1"/>
    <col min="41" max="41" width="0.625" style="7" customWidth="1"/>
    <col min="42" max="68" width="11.375" style="7"/>
    <col min="69" max="16384" width="11.375" style="8"/>
  </cols>
  <sheetData>
    <row r="1" spans="1:68" s="7" customFormat="1" ht="14.3" thickBot="1" x14ac:dyDescent="0.25">
      <c r="L1" s="299"/>
      <c r="AI1" s="41"/>
    </row>
    <row r="2" spans="1:68" s="33" customFormat="1" ht="19.55" customHeight="1" x14ac:dyDescent="0.3">
      <c r="A2" s="1076"/>
      <c r="B2" s="3391"/>
      <c r="C2" s="1845" t="s">
        <v>34</v>
      </c>
      <c r="D2" s="1846"/>
      <c r="E2" s="1847"/>
      <c r="F2" s="1847"/>
      <c r="G2" s="1847"/>
      <c r="H2" s="1847"/>
      <c r="I2" s="1865"/>
      <c r="J2" s="1866" t="e">
        <f>#REF!</f>
        <v>#REF!</v>
      </c>
      <c r="K2" s="1848" t="s">
        <v>389</v>
      </c>
      <c r="L2" s="1847"/>
      <c r="M2" s="1849"/>
      <c r="N2" s="1867"/>
      <c r="O2" s="1868" t="str">
        <f>'Leguminosen GemengeGPS(a)'!M2</f>
        <v>Leguminosen Gemenge abfrierend</v>
      </c>
      <c r="P2" s="163"/>
      <c r="Q2" s="1077"/>
      <c r="R2" s="1077"/>
      <c r="S2" s="1077"/>
      <c r="W2" s="1077"/>
      <c r="X2" s="1077"/>
      <c r="Y2" s="32"/>
      <c r="AB2" s="1078"/>
      <c r="AC2" s="1078"/>
      <c r="AH2" s="163"/>
      <c r="AI2" s="163"/>
      <c r="AJ2" s="39"/>
      <c r="AK2" s="163"/>
      <c r="AN2" s="1076"/>
      <c r="AO2" s="38"/>
      <c r="AP2" s="1078"/>
    </row>
    <row r="3" spans="1:68" s="33" customFormat="1" ht="28.9" customHeight="1" thickBot="1" x14ac:dyDescent="0.25">
      <c r="A3" s="1076"/>
      <c r="B3" s="3391"/>
      <c r="C3" s="1869" t="s">
        <v>256</v>
      </c>
      <c r="D3" s="1842"/>
      <c r="E3" s="1323"/>
      <c r="F3" s="1843" t="e">
        <f>#REF!</f>
        <v>#REF!</v>
      </c>
      <c r="G3" s="3392" t="str">
        <f>'Leguminosen GemengeGPS(a)'!H3</f>
        <v>grobkörniges Leguminosen/Getreide Gemenge (hier Sommergerste Erbse) Saat April, Ernte als GPS durch Lohnunternehmer</v>
      </c>
      <c r="H3" s="3393"/>
      <c r="I3" s="3394"/>
      <c r="J3" s="3394"/>
      <c r="K3" s="3394"/>
      <c r="L3" s="3394"/>
      <c r="M3" s="3394"/>
      <c r="N3" s="3394"/>
      <c r="O3" s="3395"/>
      <c r="P3" s="1796"/>
      <c r="Q3" s="1797"/>
      <c r="R3" s="1797"/>
      <c r="S3" s="1077"/>
      <c r="W3" s="1077"/>
      <c r="X3" s="1077"/>
      <c r="Y3" s="32"/>
      <c r="AB3" s="1078"/>
      <c r="AC3" s="1078"/>
      <c r="AD3" s="163"/>
      <c r="AE3" s="1074"/>
      <c r="AF3" s="163"/>
      <c r="AG3" s="163"/>
      <c r="AH3" s="163"/>
      <c r="AI3" s="163"/>
      <c r="AJ3" s="39"/>
      <c r="AK3" s="163"/>
      <c r="AN3" s="1076"/>
      <c r="AO3" s="1079"/>
      <c r="AP3" s="1078"/>
    </row>
    <row r="4" spans="1:68" s="168" customFormat="1" ht="20.399999999999999" customHeight="1" x14ac:dyDescent="0.2">
      <c r="B4" s="3391"/>
      <c r="C4" s="1204">
        <v>1</v>
      </c>
      <c r="D4" s="1367" t="s">
        <v>452</v>
      </c>
      <c r="E4" s="1326"/>
      <c r="F4" s="1189"/>
      <c r="G4" s="1189"/>
      <c r="H4" s="1189"/>
      <c r="I4" s="1189"/>
      <c r="J4" s="1189"/>
      <c r="K4" s="1189"/>
      <c r="L4" s="1210"/>
      <c r="M4" s="1190" t="s">
        <v>68</v>
      </c>
      <c r="N4" s="1190" t="s">
        <v>69</v>
      </c>
      <c r="O4" s="1191" t="s">
        <v>70</v>
      </c>
    </row>
    <row r="5" spans="1:68" s="168" customFormat="1" ht="10.55" customHeight="1" thickBot="1" x14ac:dyDescent="0.25">
      <c r="B5" s="1366"/>
      <c r="C5" s="1346">
        <v>2</v>
      </c>
      <c r="D5" s="1742"/>
      <c r="E5" s="1743"/>
      <c r="F5" s="1742"/>
      <c r="G5" s="1742"/>
      <c r="H5" s="1742"/>
      <c r="I5" s="1742"/>
      <c r="J5" s="1742"/>
      <c r="K5" s="1742"/>
      <c r="L5" s="1744"/>
      <c r="M5" s="1745"/>
      <c r="N5" s="1745"/>
      <c r="O5" s="1746"/>
    </row>
    <row r="6" spans="1:68" s="168" customFormat="1" ht="20.399999999999999" customHeight="1" x14ac:dyDescent="0.2">
      <c r="B6" s="3355" t="s">
        <v>462</v>
      </c>
      <c r="C6" s="1308">
        <v>3</v>
      </c>
      <c r="D6" s="332" t="s">
        <v>453</v>
      </c>
      <c r="F6" s="26"/>
      <c r="G6" s="26"/>
      <c r="H6" s="26"/>
      <c r="I6" s="220"/>
      <c r="J6" s="220"/>
      <c r="K6" s="220"/>
      <c r="L6" s="425" t="s">
        <v>72</v>
      </c>
      <c r="M6" s="258">
        <f>'Leguminosen GemengeGPS(a)'!K5</f>
        <v>90</v>
      </c>
      <c r="N6" s="1290">
        <f>'Leguminosen GemengeGPS(a)'!M5</f>
        <v>110</v>
      </c>
      <c r="O6" s="1298">
        <f>'Leguminosen GemengeGPS(a)'!O5</f>
        <v>130</v>
      </c>
      <c r="P6" s="163"/>
      <c r="AD6" s="163"/>
      <c r="AE6" s="163"/>
      <c r="AF6" s="163"/>
      <c r="AG6" s="163"/>
      <c r="AH6" s="163"/>
      <c r="AI6" s="163"/>
      <c r="AJ6" s="163"/>
      <c r="AK6" s="163"/>
      <c r="AL6" s="163"/>
      <c r="AM6" s="163"/>
      <c r="AN6" s="7"/>
      <c r="AO6" s="17">
        <v>2</v>
      </c>
    </row>
    <row r="7" spans="1:68" s="168" customFormat="1" ht="20.399999999999999" customHeight="1" x14ac:dyDescent="0.2">
      <c r="B7" s="3358"/>
      <c r="C7" s="1308">
        <v>4</v>
      </c>
      <c r="D7" s="332" t="s">
        <v>108</v>
      </c>
      <c r="F7" s="163"/>
      <c r="G7" s="26"/>
      <c r="H7" s="26"/>
      <c r="I7" s="220"/>
      <c r="J7" s="220"/>
      <c r="K7" s="220"/>
      <c r="L7" s="425" t="s">
        <v>72</v>
      </c>
      <c r="M7" s="391">
        <f>'Leguminosen GemengeGPS(a)'!K9</f>
        <v>81</v>
      </c>
      <c r="N7" s="1291">
        <f>'Leguminosen GemengeGPS(a)'!M9</f>
        <v>99</v>
      </c>
      <c r="O7" s="1299">
        <f>'Leguminosen GemengeGPS(a)'!O9</f>
        <v>117</v>
      </c>
      <c r="P7" s="163"/>
      <c r="AD7" s="163"/>
      <c r="AE7" s="163"/>
      <c r="AF7" s="163"/>
      <c r="AG7" s="163"/>
      <c r="AH7" s="163"/>
      <c r="AI7" s="163"/>
      <c r="AJ7" s="163"/>
      <c r="AK7" s="163"/>
      <c r="AL7" s="163"/>
      <c r="AM7" s="163"/>
      <c r="AN7" s="7"/>
      <c r="AO7" s="17"/>
    </row>
    <row r="8" spans="1:68" s="1" customFormat="1" ht="16.5" customHeight="1" x14ac:dyDescent="0.2">
      <c r="A8" s="168"/>
      <c r="B8" s="3358"/>
      <c r="C8" s="1345">
        <v>5</v>
      </c>
      <c r="D8" s="1322"/>
      <c r="E8" s="381"/>
      <c r="F8" s="36"/>
      <c r="G8" s="14"/>
      <c r="H8" s="14"/>
      <c r="I8" s="323"/>
      <c r="J8" s="323"/>
      <c r="K8" s="323"/>
      <c r="L8" s="139" t="s">
        <v>376</v>
      </c>
      <c r="M8" s="404">
        <f>'Leguminosen GemengeGPS(a)'!L9</f>
        <v>506.25</v>
      </c>
      <c r="N8" s="1292">
        <f>'Leguminosen GemengeGPS(a)'!N9</f>
        <v>618.75</v>
      </c>
      <c r="O8" s="1201">
        <f>'Leguminosen GemengeGPS(a)'!P9</f>
        <v>731.25</v>
      </c>
      <c r="P8" s="163"/>
      <c r="Q8" s="168"/>
      <c r="R8" s="168"/>
      <c r="S8" s="168"/>
      <c r="T8" s="168"/>
      <c r="U8" s="168"/>
      <c r="V8" s="168"/>
      <c r="W8" s="168"/>
      <c r="X8" s="168"/>
      <c r="Y8" s="168"/>
      <c r="Z8" s="168"/>
      <c r="AA8" s="168"/>
      <c r="AB8" s="168"/>
      <c r="AC8" s="168"/>
      <c r="AD8" s="163"/>
      <c r="AE8" s="163"/>
      <c r="AF8" s="163"/>
      <c r="AG8" s="163"/>
      <c r="AH8" s="163"/>
      <c r="AI8" s="163"/>
      <c r="AJ8" s="163"/>
      <c r="AK8" s="163"/>
      <c r="AL8" s="163"/>
      <c r="AM8" s="163"/>
      <c r="AN8" s="7"/>
      <c r="AO8" s="17"/>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row>
    <row r="9" spans="1:68" s="1" customFormat="1" ht="16.5" customHeight="1" x14ac:dyDescent="0.2">
      <c r="A9" s="168"/>
      <c r="B9" s="3358"/>
      <c r="C9" s="1308">
        <v>6</v>
      </c>
      <c r="D9" s="332" t="s">
        <v>432</v>
      </c>
      <c r="E9" s="168"/>
      <c r="F9" s="26"/>
      <c r="G9" s="26"/>
      <c r="H9" s="163"/>
      <c r="I9" s="220"/>
      <c r="J9" s="220"/>
      <c r="K9" s="220"/>
      <c r="L9" s="425" t="s">
        <v>72</v>
      </c>
      <c r="M9" s="967">
        <f>'Leguminosen GemengeGPS(a)'!K11</f>
        <v>81</v>
      </c>
      <c r="N9" s="1181">
        <f>'Leguminosen GemengeGPS(a)'!M11</f>
        <v>99</v>
      </c>
      <c r="O9" s="1302">
        <f>'Leguminosen GemengeGPS(a)'!O11</f>
        <v>117</v>
      </c>
      <c r="P9" s="163"/>
      <c r="Q9" s="168"/>
      <c r="R9" s="168"/>
      <c r="S9" s="168"/>
      <c r="T9" s="168"/>
      <c r="U9" s="168"/>
      <c r="V9" s="168"/>
      <c r="W9" s="168"/>
      <c r="X9" s="168"/>
      <c r="Y9" s="168"/>
      <c r="Z9" s="168"/>
      <c r="AA9" s="168"/>
      <c r="AB9" s="168"/>
      <c r="AC9" s="168"/>
      <c r="AD9" s="163"/>
      <c r="AE9" s="163"/>
      <c r="AF9" s="163"/>
      <c r="AG9" s="163"/>
      <c r="AH9" s="163"/>
      <c r="AI9" s="163"/>
      <c r="AJ9" s="163"/>
      <c r="AK9" s="163"/>
      <c r="AL9" s="163"/>
      <c r="AM9" s="163"/>
      <c r="AN9" s="7"/>
      <c r="AO9" s="17"/>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row>
    <row r="10" spans="1:68" s="1" customFormat="1" ht="16.5" customHeight="1" x14ac:dyDescent="0.2">
      <c r="A10" s="168"/>
      <c r="B10" s="3358"/>
      <c r="C10" s="1308">
        <v>7</v>
      </c>
      <c r="D10" s="332" t="s">
        <v>454</v>
      </c>
      <c r="E10" s="168"/>
      <c r="F10" s="26"/>
      <c r="G10" s="26"/>
      <c r="H10" s="163"/>
      <c r="I10" s="220"/>
      <c r="J10" s="220"/>
      <c r="K10" s="220"/>
      <c r="L10" s="425" t="s">
        <v>376</v>
      </c>
      <c r="M10" s="1469">
        <f>'Leguminosen GemengeGPS(a)'!L11</f>
        <v>506.25</v>
      </c>
      <c r="N10" s="1200">
        <f>'Leguminosen GemengeGPS(a)'!N11</f>
        <v>618.75</v>
      </c>
      <c r="O10" s="1470">
        <f>'Leguminosen GemengeGPS(a)'!P11</f>
        <v>731.25</v>
      </c>
      <c r="P10" s="163"/>
      <c r="Q10" s="168"/>
      <c r="R10" s="168"/>
      <c r="S10" s="168"/>
      <c r="T10" s="168"/>
      <c r="U10" s="168"/>
      <c r="V10" s="168"/>
      <c r="W10" s="168"/>
      <c r="X10" s="168"/>
      <c r="Y10" s="168"/>
      <c r="Z10" s="168"/>
      <c r="AA10" s="168"/>
      <c r="AB10" s="168"/>
      <c r="AC10" s="168"/>
      <c r="AD10" s="163"/>
      <c r="AE10" s="163"/>
      <c r="AF10" s="163"/>
      <c r="AG10" s="163"/>
      <c r="AH10" s="163"/>
      <c r="AI10" s="163"/>
      <c r="AJ10" s="163"/>
      <c r="AK10" s="163"/>
      <c r="AL10" s="163"/>
      <c r="AM10" s="163"/>
      <c r="AN10" s="7"/>
      <c r="AO10" s="17"/>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row>
    <row r="11" spans="1:68" s="1" customFormat="1" ht="16.5" customHeight="1" x14ac:dyDescent="0.2">
      <c r="A11" s="168"/>
      <c r="B11" s="3358"/>
      <c r="C11" s="1308">
        <v>8</v>
      </c>
      <c r="D11" s="1353"/>
      <c r="E11" s="1354"/>
      <c r="F11" s="1355"/>
      <c r="G11" s="1355"/>
      <c r="H11" s="293"/>
      <c r="I11" s="1356"/>
      <c r="J11" s="1356"/>
      <c r="K11" s="1356"/>
      <c r="L11" s="562"/>
      <c r="M11" s="1357">
        <f>'Leguminosen GemengeGPS(a)'!L12</f>
        <v>0</v>
      </c>
      <c r="N11" s="1358">
        <f>'Leguminosen GemengeGPS(a)'!N12</f>
        <v>0</v>
      </c>
      <c r="O11" s="1359">
        <f>'Leguminosen GemengeGPS(a)'!P12</f>
        <v>0</v>
      </c>
      <c r="P11" s="163"/>
      <c r="Q11" s="168"/>
      <c r="R11" s="168"/>
      <c r="S11" s="168"/>
      <c r="T11" s="168"/>
      <c r="U11" s="168"/>
      <c r="V11" s="168"/>
      <c r="W11" s="168"/>
      <c r="X11" s="168"/>
      <c r="Y11" s="168"/>
      <c r="Z11" s="168"/>
      <c r="AA11" s="168"/>
      <c r="AB11" s="168"/>
      <c r="AC11" s="168"/>
      <c r="AD11" s="163"/>
      <c r="AE11" s="163"/>
      <c r="AF11" s="163"/>
      <c r="AG11" s="163"/>
      <c r="AH11" s="163"/>
      <c r="AI11" s="163"/>
      <c r="AJ11" s="163"/>
      <c r="AK11" s="163"/>
      <c r="AL11" s="163"/>
      <c r="AM11" s="163"/>
      <c r="AN11" s="7"/>
      <c r="AO11" s="17"/>
      <c r="AP11" s="168"/>
      <c r="AQ11" s="168"/>
      <c r="AR11" s="168"/>
      <c r="AS11" s="168"/>
      <c r="AT11" s="168"/>
      <c r="AU11" s="168"/>
      <c r="AV11" s="168"/>
      <c r="AW11" s="168"/>
      <c r="AX11" s="168"/>
      <c r="AY11" s="168"/>
      <c r="AZ11" s="168"/>
      <c r="BA11" s="168"/>
      <c r="BB11" s="168"/>
      <c r="BC11" s="168"/>
      <c r="BD11" s="168"/>
      <c r="BE11" s="168"/>
      <c r="BF11" s="168"/>
      <c r="BG11" s="168"/>
      <c r="BH11" s="168"/>
      <c r="BI11" s="168"/>
      <c r="BJ11" s="168"/>
      <c r="BK11" s="168"/>
      <c r="BL11" s="168"/>
      <c r="BM11" s="168"/>
      <c r="BN11" s="168"/>
      <c r="BO11" s="168"/>
      <c r="BP11" s="168"/>
    </row>
    <row r="12" spans="1:68" s="1" customFormat="1" ht="16.5" customHeight="1" x14ac:dyDescent="0.2">
      <c r="A12" s="168"/>
      <c r="B12" s="3358"/>
      <c r="C12" s="1308">
        <v>9</v>
      </c>
      <c r="D12" s="26" t="s">
        <v>433</v>
      </c>
      <c r="E12" s="168"/>
      <c r="F12" s="3"/>
      <c r="G12" s="163"/>
      <c r="H12" s="163"/>
      <c r="I12" s="24"/>
      <c r="J12" s="24"/>
      <c r="K12" s="24"/>
      <c r="L12" s="425" t="s">
        <v>136</v>
      </c>
      <c r="M12" s="398">
        <f>'Leguminosen GemengeGPS(a)'!K15</f>
        <v>5103</v>
      </c>
      <c r="N12" s="1293">
        <f>'Leguminosen GemengeGPS(a)'!M15</f>
        <v>6236.9999999999991</v>
      </c>
      <c r="O12" s="1300">
        <f>'Leguminosen GemengeGPS(a)'!O15</f>
        <v>7371</v>
      </c>
      <c r="P12" s="163"/>
      <c r="Q12" s="168"/>
      <c r="R12" s="168"/>
      <c r="S12" s="168"/>
      <c r="T12" s="168"/>
      <c r="U12" s="168"/>
      <c r="V12" s="168"/>
      <c r="W12" s="168"/>
      <c r="X12" s="168"/>
      <c r="Y12" s="168"/>
      <c r="Z12" s="168"/>
      <c r="AA12" s="168"/>
      <c r="AB12" s="168"/>
      <c r="AC12" s="168"/>
      <c r="AD12" s="163"/>
      <c r="AE12" s="163"/>
      <c r="AF12" s="163"/>
      <c r="AG12" s="163"/>
      <c r="AH12" s="163"/>
      <c r="AI12" s="163"/>
      <c r="AJ12" s="163"/>
      <c r="AK12" s="163"/>
      <c r="AL12" s="163"/>
      <c r="AM12" s="163"/>
      <c r="AN12" s="7"/>
      <c r="AO12" s="17"/>
      <c r="AP12" s="168"/>
      <c r="AQ12" s="168"/>
      <c r="AR12" s="168"/>
      <c r="AS12" s="168"/>
      <c r="AT12" s="168"/>
      <c r="AU12" s="168"/>
      <c r="AV12" s="168"/>
      <c r="AW12" s="168"/>
      <c r="AX12" s="168"/>
      <c r="AY12" s="168"/>
      <c r="AZ12" s="168"/>
      <c r="BA12" s="168"/>
      <c r="BB12" s="168"/>
      <c r="BC12" s="168"/>
      <c r="BD12" s="168"/>
      <c r="BE12" s="168"/>
      <c r="BF12" s="168"/>
      <c r="BG12" s="168"/>
      <c r="BH12" s="168"/>
      <c r="BI12" s="168"/>
      <c r="BJ12" s="168"/>
      <c r="BK12" s="168"/>
      <c r="BL12" s="168"/>
      <c r="BM12" s="168"/>
      <c r="BN12" s="168"/>
      <c r="BO12" s="168"/>
      <c r="BP12" s="168"/>
    </row>
    <row r="13" spans="1:68" s="1" customFormat="1" ht="16.5" customHeight="1" thickBot="1" x14ac:dyDescent="0.25">
      <c r="A13" s="168"/>
      <c r="B13" s="3359"/>
      <c r="C13" s="1346">
        <v>10</v>
      </c>
      <c r="D13" s="1351"/>
      <c r="E13" s="1045"/>
      <c r="F13" s="1045"/>
      <c r="G13" s="1323"/>
      <c r="H13" s="1518"/>
      <c r="I13" s="1519"/>
      <c r="J13" s="1519"/>
      <c r="K13" s="1519"/>
      <c r="L13" s="1520" t="s">
        <v>137</v>
      </c>
      <c r="M13" s="1532">
        <f>'Leguminosen GemengeGPS(a)'!K16</f>
        <v>8505</v>
      </c>
      <c r="N13" s="1533">
        <f>'Leguminosen GemengeGPS(a)'!M16</f>
        <v>10395</v>
      </c>
      <c r="O13" s="1534">
        <f>'Leguminosen GemengeGPS(a)'!O16</f>
        <v>12285</v>
      </c>
      <c r="P13" s="163"/>
      <c r="Q13" s="168"/>
      <c r="R13" s="168"/>
      <c r="S13" s="168"/>
      <c r="T13" s="168"/>
      <c r="U13" s="168"/>
      <c r="V13" s="168"/>
      <c r="W13" s="168"/>
      <c r="X13" s="168"/>
      <c r="Y13" s="168"/>
      <c r="Z13" s="168"/>
      <c r="AA13" s="168"/>
      <c r="AB13" s="168"/>
      <c r="AC13" s="168"/>
      <c r="AD13" s="163"/>
      <c r="AE13" s="163"/>
      <c r="AF13" s="163"/>
      <c r="AG13" s="163"/>
      <c r="AH13" s="163"/>
      <c r="AI13" s="163"/>
      <c r="AJ13" s="163"/>
      <c r="AK13" s="163"/>
      <c r="AL13" s="163"/>
      <c r="AM13" s="163"/>
      <c r="AN13" s="7"/>
      <c r="AO13" s="17"/>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row>
    <row r="14" spans="1:68" s="1" customFormat="1" ht="5.95" customHeight="1" thickBot="1" x14ac:dyDescent="0.25">
      <c r="A14" s="168"/>
      <c r="B14" s="2163"/>
      <c r="C14" s="1289"/>
      <c r="D14" s="1289"/>
      <c r="E14" s="3"/>
      <c r="F14" s="3"/>
      <c r="G14" s="163"/>
      <c r="H14" s="2143"/>
      <c r="I14" s="24"/>
      <c r="J14" s="24"/>
      <c r="K14" s="24"/>
      <c r="L14" s="425"/>
      <c r="M14" s="2139"/>
      <c r="N14" s="2144"/>
      <c r="O14" s="2139"/>
      <c r="P14" s="163"/>
      <c r="Q14" s="168"/>
      <c r="R14" s="168"/>
      <c r="S14" s="168"/>
      <c r="T14" s="168"/>
      <c r="U14" s="168"/>
      <c r="V14" s="168"/>
      <c r="W14" s="168"/>
      <c r="X14" s="168"/>
      <c r="Y14" s="168"/>
      <c r="Z14" s="168"/>
      <c r="AA14" s="168"/>
      <c r="AB14" s="168"/>
      <c r="AC14" s="168"/>
      <c r="AD14" s="163"/>
      <c r="AE14" s="163"/>
      <c r="AF14" s="163"/>
      <c r="AG14" s="163"/>
      <c r="AH14" s="163"/>
      <c r="AI14" s="163"/>
      <c r="AJ14" s="163"/>
      <c r="AK14" s="163"/>
      <c r="AL14" s="163"/>
      <c r="AM14" s="163"/>
      <c r="AN14" s="7"/>
      <c r="AO14" s="17"/>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row>
    <row r="15" spans="1:68" s="1" customFormat="1" ht="16.5" customHeight="1" x14ac:dyDescent="0.2">
      <c r="A15" s="168"/>
      <c r="B15" s="3355" t="s">
        <v>563</v>
      </c>
      <c r="C15" s="1204">
        <f>C13+1</f>
        <v>11</v>
      </c>
      <c r="D15" s="1985" t="s">
        <v>561</v>
      </c>
      <c r="E15" s="2129"/>
      <c r="F15" s="2129"/>
      <c r="G15" s="1865"/>
      <c r="H15" s="2145"/>
      <c r="I15" s="2130"/>
      <c r="J15" s="2130"/>
      <c r="K15" s="2130"/>
      <c r="L15" s="1540" t="s">
        <v>154</v>
      </c>
      <c r="M15" s="2147">
        <f>'Leguminosen GemengeGPS(a)'!L24</f>
        <v>270</v>
      </c>
      <c r="N15" s="2135">
        <f>'Leguminosen GemengeGPS(a)'!N24</f>
        <v>270</v>
      </c>
      <c r="O15" s="2138">
        <f>'Leguminosen GemengeGPS(a)'!P24</f>
        <v>270</v>
      </c>
      <c r="P15" s="163"/>
      <c r="Q15" s="168"/>
      <c r="R15" s="168"/>
      <c r="S15" s="168"/>
      <c r="T15" s="168"/>
      <c r="U15" s="168"/>
      <c r="V15" s="168"/>
      <c r="W15" s="168"/>
      <c r="X15" s="168"/>
      <c r="Y15" s="168"/>
      <c r="Z15" s="168"/>
      <c r="AA15" s="168"/>
      <c r="AB15" s="168"/>
      <c r="AC15" s="168"/>
      <c r="AD15" s="163"/>
      <c r="AE15" s="163"/>
      <c r="AF15" s="163"/>
      <c r="AG15" s="163"/>
      <c r="AH15" s="163"/>
      <c r="AI15" s="163"/>
      <c r="AJ15" s="163"/>
      <c r="AK15" s="163"/>
      <c r="AL15" s="163"/>
      <c r="AM15" s="163"/>
      <c r="AN15" s="7"/>
      <c r="AO15" s="17"/>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row>
    <row r="16" spans="1:68" s="1" customFormat="1" ht="16.5" customHeight="1" x14ac:dyDescent="0.2">
      <c r="A16" s="168"/>
      <c r="B16" s="3356"/>
      <c r="C16" s="1308">
        <f>C15+1</f>
        <v>12</v>
      </c>
      <c r="D16" s="1048" t="s">
        <v>575</v>
      </c>
      <c r="E16" s="3"/>
      <c r="F16" s="3"/>
      <c r="G16" s="163"/>
      <c r="H16" s="2143"/>
      <c r="I16" s="24"/>
      <c r="J16" s="24"/>
      <c r="K16" s="24"/>
      <c r="L16" s="425"/>
      <c r="M16" s="391">
        <f>'Leguminosen GemengeGPS(a)'!L18</f>
        <v>310</v>
      </c>
      <c r="N16" s="1291">
        <f>'Leguminosen GemengeGPS(a)'!N18</f>
        <v>310</v>
      </c>
      <c r="O16" s="2140">
        <f>'Leguminosen GemengeGPS(a)'!P18</f>
        <v>310</v>
      </c>
      <c r="P16" s="163"/>
      <c r="Q16" s="168"/>
      <c r="R16" s="168"/>
      <c r="S16" s="168"/>
      <c r="T16" s="168"/>
      <c r="U16" s="168"/>
      <c r="V16" s="168"/>
      <c r="W16" s="168"/>
      <c r="X16" s="168"/>
      <c r="Y16" s="168"/>
      <c r="Z16" s="168"/>
      <c r="AA16" s="168"/>
      <c r="AB16" s="168"/>
      <c r="AC16" s="168"/>
      <c r="AD16" s="163"/>
      <c r="AE16" s="163"/>
      <c r="AF16" s="163"/>
      <c r="AG16" s="163"/>
      <c r="AH16" s="163"/>
      <c r="AI16" s="163"/>
      <c r="AJ16" s="163"/>
      <c r="AK16" s="163"/>
      <c r="AL16" s="163"/>
      <c r="AM16" s="163"/>
      <c r="AN16" s="7"/>
      <c r="AO16" s="17"/>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c r="BM16" s="168"/>
      <c r="BN16" s="168"/>
      <c r="BO16" s="168"/>
      <c r="BP16" s="168"/>
    </row>
    <row r="17" spans="1:68" s="1" customFormat="1" ht="16.5" customHeight="1" thickBot="1" x14ac:dyDescent="0.25">
      <c r="A17" s="168"/>
      <c r="B17" s="3357"/>
      <c r="C17" s="1346">
        <f>C16+1</f>
        <v>13</v>
      </c>
      <c r="D17" s="1547" t="s">
        <v>562</v>
      </c>
      <c r="E17" s="1045"/>
      <c r="F17" s="1045"/>
      <c r="G17" s="1323"/>
      <c r="H17" s="1518"/>
      <c r="I17" s="1519"/>
      <c r="J17" s="1519"/>
      <c r="K17" s="1519"/>
      <c r="L17" s="1520"/>
      <c r="M17" s="1550">
        <f>M15+M16</f>
        <v>580</v>
      </c>
      <c r="N17" s="1533">
        <f>N15+N16</f>
        <v>580</v>
      </c>
      <c r="O17" s="2146">
        <f>O15+O16</f>
        <v>580</v>
      </c>
      <c r="P17" s="163"/>
      <c r="Q17" s="168"/>
      <c r="R17" s="168"/>
      <c r="S17" s="168"/>
      <c r="T17" s="168"/>
      <c r="U17" s="168"/>
      <c r="V17" s="168"/>
      <c r="W17" s="168"/>
      <c r="X17" s="168"/>
      <c r="Y17" s="168"/>
      <c r="Z17" s="168"/>
      <c r="AA17" s="168"/>
      <c r="AB17" s="168"/>
      <c r="AC17" s="168"/>
      <c r="AD17" s="163"/>
      <c r="AE17" s="163"/>
      <c r="AF17" s="163"/>
      <c r="AG17" s="163"/>
      <c r="AH17" s="163"/>
      <c r="AI17" s="163"/>
      <c r="AJ17" s="163"/>
      <c r="AK17" s="163"/>
      <c r="AL17" s="163"/>
      <c r="AM17" s="163"/>
      <c r="AN17" s="7"/>
      <c r="AO17" s="17"/>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row>
    <row r="18" spans="1:68" s="7" customFormat="1" ht="6.8" customHeight="1" thickBot="1" x14ac:dyDescent="0.25">
      <c r="B18" s="1348"/>
      <c r="C18" s="1289"/>
      <c r="D18" s="26"/>
      <c r="F18" s="26"/>
      <c r="G18" s="26"/>
      <c r="H18" s="26"/>
      <c r="I18" s="26"/>
      <c r="J18" s="26"/>
      <c r="K18" s="26"/>
      <c r="L18" s="425"/>
      <c r="M18" s="1524"/>
      <c r="N18" s="1525"/>
      <c r="O18" s="1524"/>
      <c r="P18" s="163"/>
      <c r="AD18" s="163"/>
      <c r="AE18" s="163"/>
      <c r="AF18" s="163"/>
      <c r="AG18" s="163"/>
      <c r="AH18" s="163"/>
      <c r="AI18" s="163"/>
      <c r="AJ18" s="163"/>
      <c r="AK18" s="163"/>
      <c r="AL18" s="163"/>
      <c r="AM18" s="163"/>
      <c r="AO18" s="17"/>
    </row>
    <row r="19" spans="1:68" ht="16.5" customHeight="1" x14ac:dyDescent="0.2">
      <c r="B19" s="3386" t="s">
        <v>459</v>
      </c>
      <c r="C19" s="1204">
        <f>C17+1</f>
        <v>14</v>
      </c>
      <c r="D19" s="3389"/>
      <c r="E19" s="1526" t="s">
        <v>215</v>
      </c>
      <c r="F19" s="1526"/>
      <c r="G19" s="1526"/>
      <c r="H19" s="1526"/>
      <c r="I19" s="1526"/>
      <c r="J19" s="1526"/>
      <c r="K19" s="1526"/>
      <c r="L19" s="1540" t="s">
        <v>154</v>
      </c>
      <c r="M19" s="1527">
        <f>'Leguminosen GemengeGPS(a)'!L29</f>
        <v>52.964999999999996</v>
      </c>
      <c r="N19" s="1528">
        <f>'Leguminosen GemengeGPS(a)'!N29</f>
        <v>52.964999999999996</v>
      </c>
      <c r="O19" s="1529">
        <f>'Leguminosen GemengeGPS(a)'!P29</f>
        <v>52.964999999999996</v>
      </c>
      <c r="P19" s="163"/>
      <c r="AD19" s="163"/>
      <c r="AE19" s="163"/>
      <c r="AF19" s="163"/>
      <c r="AG19" s="163"/>
      <c r="AH19" s="163"/>
      <c r="AI19" s="163"/>
      <c r="AJ19" s="163"/>
      <c r="AK19" s="163"/>
      <c r="AL19" s="163"/>
      <c r="AM19" s="163"/>
      <c r="AO19" s="233"/>
    </row>
    <row r="20" spans="1:68" ht="16.5" customHeight="1" x14ac:dyDescent="0.2">
      <c r="B20" s="3387"/>
      <c r="C20" s="1308">
        <f>C19+1</f>
        <v>15</v>
      </c>
      <c r="D20" s="3390"/>
      <c r="E20" s="16" t="s">
        <v>597</v>
      </c>
      <c r="F20" s="16"/>
      <c r="G20" s="16"/>
      <c r="H20" s="16"/>
      <c r="I20" s="16"/>
      <c r="J20" s="16"/>
      <c r="K20" s="16"/>
      <c r="L20" s="1541" t="s">
        <v>154</v>
      </c>
      <c r="M20" s="235">
        <f>'Leguminosen GemengeGPS(a)'!L31</f>
        <v>454.01474999999999</v>
      </c>
      <c r="N20" s="1186">
        <f>'Leguminosen GemengeGPS(a)'!N31</f>
        <v>729.44025000000011</v>
      </c>
      <c r="O20" s="1192">
        <f>'Leguminosen GemengeGPS(a)'!P31</f>
        <v>1004.8657499999999</v>
      </c>
      <c r="P20" s="163"/>
      <c r="AD20" s="233"/>
      <c r="AE20" s="233"/>
      <c r="AF20" s="233"/>
      <c r="AG20" s="233"/>
      <c r="AH20" s="233"/>
      <c r="AI20" s="19"/>
      <c r="AJ20" s="520"/>
      <c r="AK20" s="521"/>
      <c r="AL20" s="520"/>
      <c r="AM20" s="520"/>
      <c r="AO20" s="233"/>
    </row>
    <row r="21" spans="1:68" ht="16.5" customHeight="1" x14ac:dyDescent="0.2">
      <c r="B21" s="3387"/>
      <c r="C21" s="1308">
        <f>C20+1</f>
        <v>16</v>
      </c>
      <c r="D21" s="3390"/>
      <c r="E21" s="17" t="s">
        <v>227</v>
      </c>
      <c r="F21" s="17"/>
      <c r="G21" s="17"/>
      <c r="H21" s="17"/>
      <c r="I21" s="17"/>
      <c r="J21" s="17"/>
      <c r="K21" s="17"/>
      <c r="L21" s="1541" t="s">
        <v>154</v>
      </c>
      <c r="M21" s="235">
        <f>'Leguminosen GemengeGPS(a)'!L37</f>
        <v>0</v>
      </c>
      <c r="N21" s="1186">
        <f>'Leguminosen GemengeGPS(a)'!N37</f>
        <v>0</v>
      </c>
      <c r="O21" s="1192">
        <f>'Leguminosen GemengeGPS(a)'!P37</f>
        <v>0</v>
      </c>
      <c r="P21" s="163"/>
      <c r="AD21" s="233"/>
      <c r="AE21" s="233"/>
      <c r="AF21" s="233"/>
      <c r="AG21" s="233"/>
      <c r="AH21" s="233"/>
      <c r="AI21" s="19"/>
      <c r="AJ21" s="520"/>
      <c r="AK21" s="521"/>
      <c r="AL21" s="520"/>
      <c r="AM21" s="520"/>
      <c r="AO21" s="233"/>
    </row>
    <row r="22" spans="1:68" ht="16.5" customHeight="1" x14ac:dyDescent="0.2">
      <c r="B22" s="3387"/>
      <c r="C22" s="1308">
        <f>C21+1</f>
        <v>17</v>
      </c>
      <c r="D22" s="3390"/>
      <c r="E22" s="17" t="s">
        <v>448</v>
      </c>
      <c r="F22" s="17"/>
      <c r="G22" s="17"/>
      <c r="H22" s="17"/>
      <c r="I22" s="17"/>
      <c r="J22" s="17"/>
      <c r="K22" s="17"/>
      <c r="L22" s="1541" t="s">
        <v>154</v>
      </c>
      <c r="M22" s="235">
        <f>'Leguminosen GemengeGPS(a)'!L65</f>
        <v>0</v>
      </c>
      <c r="N22" s="1186">
        <f>'Leguminosen GemengeGPS(a)'!N65</f>
        <v>0</v>
      </c>
      <c r="O22" s="1192">
        <f>'Leguminosen GemengeGPS(a)'!P65</f>
        <v>0</v>
      </c>
      <c r="P22" s="163"/>
      <c r="AD22" s="233"/>
      <c r="AE22" s="233"/>
      <c r="AF22" s="233"/>
      <c r="AG22" s="233"/>
      <c r="AH22" s="233"/>
      <c r="AI22" s="19"/>
      <c r="AJ22" s="520"/>
      <c r="AK22" s="521"/>
      <c r="AL22" s="520"/>
      <c r="AM22" s="520"/>
      <c r="AO22" s="233"/>
    </row>
    <row r="23" spans="1:68" ht="16.5" customHeight="1" x14ac:dyDescent="0.2">
      <c r="B23" s="3387"/>
      <c r="C23" s="1308">
        <f>C22+1</f>
        <v>18</v>
      </c>
      <c r="D23" s="3390"/>
      <c r="E23" s="17" t="s">
        <v>451</v>
      </c>
      <c r="F23" s="17"/>
      <c r="G23" s="17"/>
      <c r="H23" s="17"/>
      <c r="I23" s="17"/>
      <c r="J23" s="17"/>
      <c r="K23" s="17"/>
      <c r="L23" s="1541" t="s">
        <v>154</v>
      </c>
      <c r="M23" s="235">
        <f>'Leguminosen GemengeGPS(a)'!L67</f>
        <v>0</v>
      </c>
      <c r="N23" s="1186">
        <f>'Leguminosen GemengeGPS(a)'!N67</f>
        <v>0</v>
      </c>
      <c r="O23" s="1192">
        <f>'Leguminosen GemengeGPS(a)'!P67</f>
        <v>0</v>
      </c>
      <c r="P23" s="163"/>
      <c r="AD23" s="233"/>
      <c r="AE23" s="233"/>
      <c r="AF23" s="233"/>
      <c r="AG23" s="233"/>
      <c r="AH23" s="233"/>
      <c r="AI23" s="19"/>
      <c r="AJ23" s="520"/>
      <c r="AK23" s="521"/>
      <c r="AL23" s="520"/>
      <c r="AM23" s="520"/>
      <c r="AO23" s="233"/>
    </row>
    <row r="24" spans="1:68" ht="16.5" customHeight="1" x14ac:dyDescent="0.2">
      <c r="B24" s="3387"/>
      <c r="C24" s="1308">
        <f t="shared" ref="C24:C33" si="0">C23+1</f>
        <v>19</v>
      </c>
      <c r="D24" s="1347"/>
      <c r="E24" s="17" t="s">
        <v>246</v>
      </c>
      <c r="F24" s="17"/>
      <c r="G24" s="17"/>
      <c r="H24" s="17"/>
      <c r="I24" s="17"/>
      <c r="J24" s="17"/>
      <c r="K24" s="17"/>
      <c r="L24" s="1541" t="s">
        <v>154</v>
      </c>
      <c r="M24" s="235" t="e">
        <f>'Leguminosen GemengeGPS(a)'!L42</f>
        <v>#N/A</v>
      </c>
      <c r="N24" s="1186" t="e">
        <f>'Leguminosen GemengeGPS(a)'!N42</f>
        <v>#N/A</v>
      </c>
      <c r="O24" s="1192" t="e">
        <f>'Leguminosen GemengeGPS(a)'!P42</f>
        <v>#N/A</v>
      </c>
      <c r="P24" s="163"/>
      <c r="AD24" s="233"/>
      <c r="AE24" s="233"/>
      <c r="AF24" s="233"/>
      <c r="AG24" s="233"/>
      <c r="AH24" s="233"/>
      <c r="AI24" s="19"/>
      <c r="AJ24" s="520"/>
      <c r="AK24" s="521"/>
      <c r="AL24" s="520"/>
      <c r="AM24" s="520"/>
      <c r="AO24" s="233"/>
    </row>
    <row r="25" spans="1:68" ht="16.5" customHeight="1" x14ac:dyDescent="0.2">
      <c r="B25" s="3387"/>
      <c r="C25" s="1308">
        <f t="shared" si="0"/>
        <v>20</v>
      </c>
      <c r="D25" s="1347"/>
      <c r="E25" s="17" t="s">
        <v>286</v>
      </c>
      <c r="F25" s="17"/>
      <c r="G25" s="17"/>
      <c r="H25" s="17"/>
      <c r="I25" s="17"/>
      <c r="J25" s="17"/>
      <c r="K25" s="17"/>
      <c r="L25" s="1541" t="s">
        <v>154</v>
      </c>
      <c r="M25" s="235">
        <f>'Leguminosen GemengeGPS(a)'!L58</f>
        <v>0</v>
      </c>
      <c r="N25" s="1186">
        <f>'Leguminosen GemengeGPS(a)'!N58</f>
        <v>0</v>
      </c>
      <c r="O25" s="1192">
        <f>'Leguminosen GemengeGPS(a)'!P58</f>
        <v>0</v>
      </c>
      <c r="P25" s="163"/>
      <c r="AD25" s="233"/>
      <c r="AE25" s="233"/>
      <c r="AF25" s="233"/>
      <c r="AG25" s="233"/>
      <c r="AH25" s="233"/>
      <c r="AI25" s="19"/>
      <c r="AJ25" s="520"/>
      <c r="AK25" s="521"/>
      <c r="AL25" s="520"/>
      <c r="AM25" s="520"/>
      <c r="AO25" s="233"/>
    </row>
    <row r="26" spans="1:68" ht="16.5" customHeight="1" x14ac:dyDescent="0.2">
      <c r="B26" s="3387"/>
      <c r="C26" s="1345">
        <f t="shared" si="0"/>
        <v>21</v>
      </c>
      <c r="D26" s="1512"/>
      <c r="E26" s="142" t="s">
        <v>214</v>
      </c>
      <c r="F26" s="142"/>
      <c r="G26" s="142"/>
      <c r="H26" s="142"/>
      <c r="I26" s="142"/>
      <c r="J26" s="142"/>
      <c r="K26" s="142"/>
      <c r="L26" s="1542" t="s">
        <v>154</v>
      </c>
      <c r="M26" s="1437">
        <f>'Leguminosen GemengeGPS(a)'!L63</f>
        <v>0</v>
      </c>
      <c r="N26" s="1438">
        <f>'Leguminosen GemengeGPS(a)'!N63</f>
        <v>0</v>
      </c>
      <c r="O26" s="1439">
        <f>'Leguminosen GemengeGPS(a)'!P63</f>
        <v>0</v>
      </c>
      <c r="P26" s="163"/>
      <c r="AD26" s="233"/>
      <c r="AE26" s="233"/>
      <c r="AF26" s="233"/>
      <c r="AG26" s="233"/>
      <c r="AH26" s="233"/>
      <c r="AI26" s="19"/>
      <c r="AJ26" s="520"/>
      <c r="AK26" s="521"/>
      <c r="AL26" s="520"/>
      <c r="AM26" s="520"/>
      <c r="AO26" s="233"/>
    </row>
    <row r="27" spans="1:68" ht="20.399999999999999" customHeight="1" x14ac:dyDescent="0.2">
      <c r="B27" s="3388"/>
      <c r="C27" s="1345">
        <f t="shared" si="0"/>
        <v>22</v>
      </c>
      <c r="D27" s="1447" t="s">
        <v>586</v>
      </c>
      <c r="E27" s="1363"/>
      <c r="F27" s="1509"/>
      <c r="G27" s="1509"/>
      <c r="H27" s="1509"/>
      <c r="I27" s="1509"/>
      <c r="J27" s="1509"/>
      <c r="K27" s="1509"/>
      <c r="L27" s="1510" t="s">
        <v>154</v>
      </c>
      <c r="M27" s="1319" t="e">
        <f>SUM(M19:M26)</f>
        <v>#N/A</v>
      </c>
      <c r="N27" s="1319" t="e">
        <f>SUM(N19:N26)</f>
        <v>#N/A</v>
      </c>
      <c r="O27" s="1511" t="e">
        <f>SUM(O19:O26)</f>
        <v>#N/A</v>
      </c>
      <c r="P27" s="163"/>
      <c r="AD27" s="233"/>
      <c r="AE27" s="233"/>
      <c r="AF27" s="233"/>
      <c r="AG27" s="233"/>
      <c r="AH27" s="233"/>
      <c r="AI27" s="19"/>
      <c r="AJ27" s="520"/>
      <c r="AK27" s="521"/>
      <c r="AL27" s="520"/>
      <c r="AM27" s="520"/>
      <c r="AO27" s="233"/>
    </row>
    <row r="28" spans="1:68" ht="20.399999999999999" customHeight="1" x14ac:dyDescent="0.2">
      <c r="B28" s="3396" t="s">
        <v>460</v>
      </c>
      <c r="C28" s="1345">
        <f t="shared" si="0"/>
        <v>23</v>
      </c>
      <c r="D28" s="1513" t="s">
        <v>576</v>
      </c>
      <c r="E28" s="1514"/>
      <c r="F28" s="1515"/>
      <c r="G28" s="1515"/>
      <c r="H28" s="1515"/>
      <c r="I28" s="1515"/>
      <c r="J28" s="1515"/>
      <c r="K28" s="1515"/>
      <c r="L28" s="1364" t="s">
        <v>154</v>
      </c>
      <c r="M28" s="1516" t="e">
        <f>-M27</f>
        <v>#N/A</v>
      </c>
      <c r="N28" s="1516" t="e">
        <f>-N27</f>
        <v>#N/A</v>
      </c>
      <c r="O28" s="1517" t="e">
        <f>-O27</f>
        <v>#N/A</v>
      </c>
      <c r="P28" s="163"/>
      <c r="AD28" s="233"/>
      <c r="AE28" s="233"/>
      <c r="AF28" s="233"/>
      <c r="AG28" s="233"/>
      <c r="AH28" s="233"/>
      <c r="AI28" s="19"/>
      <c r="AJ28" s="520"/>
      <c r="AK28" s="521"/>
      <c r="AL28" s="520"/>
      <c r="AM28" s="520"/>
      <c r="AO28" s="233"/>
    </row>
    <row r="29" spans="1:68" ht="14.45" customHeight="1" x14ac:dyDescent="0.2">
      <c r="B29" s="3387"/>
      <c r="C29" s="1308">
        <f t="shared" si="0"/>
        <v>24</v>
      </c>
      <c r="E29" s="1434" t="s">
        <v>569</v>
      </c>
      <c r="F29" s="26"/>
      <c r="G29" s="26"/>
      <c r="H29" s="26"/>
      <c r="I29" s="26"/>
      <c r="J29" s="26"/>
      <c r="K29" s="26"/>
      <c r="L29" s="425" t="s">
        <v>154</v>
      </c>
      <c r="M29" s="1296">
        <f>M17</f>
        <v>580</v>
      </c>
      <c r="N29" s="1297">
        <f>N17</f>
        <v>580</v>
      </c>
      <c r="O29" s="1301">
        <f>O17</f>
        <v>580</v>
      </c>
      <c r="P29" s="163"/>
      <c r="U29" s="7" t="s">
        <v>554</v>
      </c>
      <c r="AD29" s="233"/>
      <c r="AE29" s="233"/>
      <c r="AF29" s="233"/>
      <c r="AG29" s="233"/>
      <c r="AH29" s="233"/>
      <c r="AI29" s="19"/>
      <c r="AJ29" s="520"/>
      <c r="AK29" s="521"/>
      <c r="AL29" s="520"/>
      <c r="AM29" s="520"/>
      <c r="AO29" s="233"/>
    </row>
    <row r="30" spans="1:68" ht="16.5" customHeight="1" x14ac:dyDescent="0.2">
      <c r="B30" s="3387"/>
      <c r="C30" s="1345">
        <f t="shared" si="0"/>
        <v>25</v>
      </c>
      <c r="D30" s="1322"/>
      <c r="E30" s="1435" t="s">
        <v>508</v>
      </c>
      <c r="F30" s="142"/>
      <c r="G30" s="142"/>
      <c r="H30" s="142"/>
      <c r="I30" s="142"/>
      <c r="J30" s="142"/>
      <c r="K30" s="142"/>
      <c r="L30" s="1436" t="s">
        <v>154</v>
      </c>
      <c r="M30" s="1437" t="e">
        <f>M27*'Leguminosen GemengeGPS(a)'!$L$70*'Leguminosen GemengeGPS(a)'!$P$70/12/100</f>
        <v>#N/A</v>
      </c>
      <c r="N30" s="1438" t="e">
        <f>N27*'Leguminosen GemengeGPS(a)'!$L$70*'Leguminosen GemengeGPS(a)'!$P$70/12/100</f>
        <v>#N/A</v>
      </c>
      <c r="O30" s="1439" t="e">
        <f>O27*'Leguminosen GemengeGPS(a)'!$L$70*'Leguminosen GemengeGPS(a)'!$P$70/12/100</f>
        <v>#N/A</v>
      </c>
      <c r="P30" s="163"/>
      <c r="T30" s="7" t="s">
        <v>581</v>
      </c>
      <c r="U30" s="2121"/>
      <c r="V30" s="2121"/>
      <c r="W30" s="2121"/>
      <c r="X30" s="2121"/>
      <c r="Y30" s="2121"/>
      <c r="AD30" s="233"/>
      <c r="AE30" s="233"/>
      <c r="AF30" s="233"/>
      <c r="AG30" s="233"/>
      <c r="AH30" s="233"/>
      <c r="AI30" s="19"/>
      <c r="AJ30" s="520"/>
      <c r="AK30" s="521"/>
      <c r="AL30" s="520"/>
      <c r="AM30" s="520"/>
      <c r="AO30" s="233"/>
    </row>
    <row r="31" spans="1:68" ht="20.25" customHeight="1" x14ac:dyDescent="0.2">
      <c r="A31" s="247"/>
      <c r="B31" s="3387"/>
      <c r="C31" s="1308">
        <f t="shared" si="0"/>
        <v>26</v>
      </c>
      <c r="D31" s="1185" t="s">
        <v>577</v>
      </c>
      <c r="E31" s="1318"/>
      <c r="F31" s="1185"/>
      <c r="G31" s="1185"/>
      <c r="H31" s="1185"/>
      <c r="I31" s="1185"/>
      <c r="J31" s="1185"/>
      <c r="K31" s="1185"/>
      <c r="L31" s="1213" t="s">
        <v>154</v>
      </c>
      <c r="M31" s="1313" t="e">
        <f>M28+M29-M30</f>
        <v>#N/A</v>
      </c>
      <c r="N31" s="1313" t="e">
        <f>N28+N29-N30</f>
        <v>#N/A</v>
      </c>
      <c r="O31" s="1320" t="e">
        <f>O28+O29-O30</f>
        <v>#N/A</v>
      </c>
      <c r="P31" s="163"/>
      <c r="T31" s="7" t="s">
        <v>582</v>
      </c>
      <c r="AD31" s="233"/>
      <c r="AE31" s="233"/>
      <c r="AF31" s="233"/>
      <c r="AG31" s="233"/>
      <c r="AH31" s="233"/>
      <c r="AI31" s="19"/>
      <c r="AJ31" s="520"/>
      <c r="AK31" s="521"/>
      <c r="AL31" s="520"/>
      <c r="AM31" s="520"/>
      <c r="AO31" s="233"/>
    </row>
    <row r="32" spans="1:68" ht="17.350000000000001" customHeight="1" x14ac:dyDescent="0.2">
      <c r="A32" s="247"/>
      <c r="B32" s="3387"/>
      <c r="C32" s="1308">
        <f t="shared" si="0"/>
        <v>27</v>
      </c>
      <c r="D32" s="1501"/>
      <c r="E32" s="1471" t="s">
        <v>587</v>
      </c>
      <c r="F32" s="1475"/>
      <c r="G32" s="1475"/>
      <c r="H32" s="1475"/>
      <c r="I32" s="1475"/>
      <c r="J32" s="1475"/>
      <c r="K32" s="1475"/>
      <c r="L32" s="1370" t="s">
        <v>158</v>
      </c>
      <c r="M32" s="1502" t="e">
        <f>IF(M12=0,0,M31/M12)</f>
        <v>#N/A</v>
      </c>
      <c r="N32" s="1180" t="e">
        <f>IF(N12=0,0,N31/N12)</f>
        <v>#N/A</v>
      </c>
      <c r="O32" s="1503" t="e">
        <f>IF(O12=0,0,O31/O12)</f>
        <v>#N/A</v>
      </c>
      <c r="P32" s="163"/>
      <c r="AD32" s="233"/>
      <c r="AE32" s="233"/>
      <c r="AF32" s="233"/>
      <c r="AG32" s="233"/>
      <c r="AH32" s="233"/>
      <c r="AI32" s="19"/>
      <c r="AJ32" s="520"/>
      <c r="AK32" s="521"/>
      <c r="AL32" s="520"/>
      <c r="AM32" s="520"/>
      <c r="AO32" s="233"/>
    </row>
    <row r="33" spans="1:68" ht="20.25" customHeight="1" thickBot="1" x14ac:dyDescent="0.25">
      <c r="A33" s="247"/>
      <c r="B33" s="3388"/>
      <c r="C33" s="1346">
        <f t="shared" si="0"/>
        <v>28</v>
      </c>
      <c r="D33" s="1504"/>
      <c r="E33" s="1505"/>
      <c r="F33" s="1505"/>
      <c r="G33" s="1505"/>
      <c r="H33" s="1505"/>
      <c r="I33" s="1505"/>
      <c r="J33" s="1505"/>
      <c r="K33" s="1505"/>
      <c r="L33" s="1506" t="s">
        <v>159</v>
      </c>
      <c r="M33" s="1507" t="e">
        <f>IF(M13=0,0,M31/M13)</f>
        <v>#N/A</v>
      </c>
      <c r="N33" s="1194" t="e">
        <f>IF(N13=0,0,N31/N13)</f>
        <v>#N/A</v>
      </c>
      <c r="O33" s="1508" t="e">
        <f>IF(O13=0,0,O31/O13)</f>
        <v>#N/A</v>
      </c>
      <c r="P33" s="163"/>
      <c r="AD33" s="233"/>
      <c r="AE33" s="233"/>
      <c r="AF33" s="233"/>
      <c r="AG33" s="233"/>
      <c r="AH33" s="233"/>
      <c r="AI33" s="19"/>
      <c r="AJ33" s="520"/>
      <c r="AK33" s="521"/>
      <c r="AL33" s="520"/>
      <c r="AM33" s="520"/>
      <c r="AO33" s="233"/>
    </row>
    <row r="34" spans="1:68" s="291" customFormat="1" ht="5.95" customHeight="1" thickBot="1" x14ac:dyDescent="0.25">
      <c r="A34" s="247"/>
      <c r="B34" s="247"/>
      <c r="C34" s="1455"/>
      <c r="D34" s="1289"/>
      <c r="E34" s="1456"/>
      <c r="F34" s="966"/>
      <c r="G34" s="966"/>
      <c r="H34" s="966"/>
      <c r="I34" s="966"/>
      <c r="J34" s="966"/>
      <c r="K34" s="966"/>
      <c r="L34" s="1214"/>
      <c r="M34" s="1175"/>
      <c r="N34" s="1499"/>
      <c r="O34" s="1175"/>
      <c r="P34" s="247"/>
      <c r="AD34" s="966"/>
      <c r="AE34" s="966"/>
      <c r="AF34" s="966"/>
      <c r="AG34" s="966"/>
      <c r="AH34" s="966"/>
      <c r="AI34" s="376"/>
      <c r="AJ34" s="1176"/>
      <c r="AK34" s="1176"/>
      <c r="AL34" s="1176"/>
      <c r="AM34" s="1176"/>
      <c r="AO34" s="966"/>
    </row>
    <row r="35" spans="1:68" ht="17.7" customHeight="1" x14ac:dyDescent="0.2">
      <c r="A35" s="163"/>
      <c r="B35" s="3355" t="s">
        <v>226</v>
      </c>
      <c r="C35" s="1448">
        <f>C33+1</f>
        <v>29</v>
      </c>
      <c r="D35" s="1788"/>
      <c r="E35" s="1789" t="s">
        <v>31</v>
      </c>
      <c r="F35" s="1789"/>
      <c r="G35" s="1789"/>
      <c r="H35" s="1789"/>
      <c r="I35" s="1789"/>
      <c r="J35" s="1789"/>
      <c r="K35" s="1789"/>
      <c r="L35" s="1790" t="s">
        <v>161</v>
      </c>
      <c r="M35" s="1772" t="e">
        <f>'Leguminosen GemengeGPS(a)'!K57</f>
        <v>#N/A</v>
      </c>
      <c r="N35" s="1771" t="e">
        <f>'Leguminosen GemengeGPS(a)'!M57</f>
        <v>#N/A</v>
      </c>
      <c r="O35" s="1773" t="e">
        <f>'Leguminosen GemengeGPS(a)'!O57</f>
        <v>#N/A</v>
      </c>
      <c r="P35" s="163"/>
      <c r="AD35" s="163"/>
      <c r="AE35" s="163"/>
      <c r="AF35" s="163"/>
      <c r="AG35" s="163"/>
      <c r="AH35" s="163"/>
      <c r="AI35" s="163"/>
      <c r="AJ35" s="163"/>
      <c r="AK35" s="163"/>
      <c r="AL35" s="163"/>
      <c r="AM35" s="163"/>
      <c r="AO35" s="238"/>
    </row>
    <row r="36" spans="1:68" ht="17.7" customHeight="1" x14ac:dyDescent="0.3">
      <c r="A36" s="163"/>
      <c r="B36" s="3356"/>
      <c r="C36" s="1372">
        <f>C35+1</f>
        <v>30</v>
      </c>
      <c r="D36" s="1454"/>
      <c r="E36" s="142" t="s">
        <v>162</v>
      </c>
      <c r="F36" s="142"/>
      <c r="G36" s="1530"/>
      <c r="H36" s="1530"/>
      <c r="I36" s="1539">
        <f>IF(M36=0,0,'Lager-Fläche'!$L$13)</f>
        <v>0</v>
      </c>
      <c r="J36" s="218" t="s">
        <v>32</v>
      </c>
      <c r="K36" s="218"/>
      <c r="L36" s="1531" t="s">
        <v>378</v>
      </c>
      <c r="M36" s="1802">
        <f>'Leguminosen GemengeGPS(a)'!L10</f>
        <v>0</v>
      </c>
      <c r="N36" s="1803">
        <f>'Leguminosen GemengeGPS(a)'!N10</f>
        <v>0</v>
      </c>
      <c r="O36" s="1804">
        <f>'Leguminosen GemengeGPS(a)'!P10</f>
        <v>0</v>
      </c>
      <c r="P36" s="163"/>
      <c r="AD36" s="163"/>
      <c r="AE36" s="163"/>
      <c r="AF36" s="163"/>
      <c r="AG36" s="163"/>
      <c r="AH36" s="163"/>
      <c r="AI36" s="163"/>
      <c r="AJ36" s="163"/>
      <c r="AK36" s="163"/>
      <c r="AL36" s="163"/>
      <c r="AM36" s="163"/>
      <c r="AO36" s="238"/>
    </row>
    <row r="37" spans="1:68" ht="20.399999999999999" customHeight="1" x14ac:dyDescent="0.2">
      <c r="A37" s="163"/>
      <c r="B37" s="3356"/>
      <c r="C37" s="1349">
        <f>C36+1</f>
        <v>31</v>
      </c>
      <c r="D37" s="1347"/>
      <c r="E37" s="17" t="s">
        <v>212</v>
      </c>
      <c r="F37" s="17"/>
      <c r="G37" s="163"/>
      <c r="H37" s="163"/>
      <c r="J37" s="1380">
        <f>Preise!$M$37</f>
        <v>16.5</v>
      </c>
      <c r="K37" s="299" t="s">
        <v>311</v>
      </c>
      <c r="L37" s="425" t="s">
        <v>154</v>
      </c>
      <c r="M37" s="1800" t="e">
        <f>$J$37*M35</f>
        <v>#N/A</v>
      </c>
      <c r="N37" s="1186" t="e">
        <f>$J$37*N35</f>
        <v>#N/A</v>
      </c>
      <c r="O37" s="1192" t="e">
        <f>$J$37*O35</f>
        <v>#N/A</v>
      </c>
      <c r="P37" s="163"/>
      <c r="AD37" s="163"/>
      <c r="AE37" s="163"/>
      <c r="AF37" s="163"/>
      <c r="AG37" s="163"/>
      <c r="AH37" s="163"/>
      <c r="AI37" s="163"/>
      <c r="AJ37" s="163"/>
      <c r="AK37" s="163"/>
      <c r="AL37" s="163"/>
      <c r="AM37" s="163"/>
      <c r="AO37" s="238"/>
    </row>
    <row r="38" spans="1:68" s="168" customFormat="1" ht="17.7" customHeight="1" x14ac:dyDescent="0.2">
      <c r="B38" s="3356"/>
      <c r="C38" s="1349">
        <f t="shared" ref="C38:C43" si="1">C37+1</f>
        <v>32</v>
      </c>
      <c r="D38" s="1440"/>
      <c r="E38" s="17" t="s">
        <v>216</v>
      </c>
      <c r="F38" s="17"/>
      <c r="G38" s="17"/>
      <c r="K38" s="7"/>
      <c r="L38" s="425" t="s">
        <v>154</v>
      </c>
      <c r="M38" s="235">
        <f>M36*$I$36</f>
        <v>0</v>
      </c>
      <c r="N38" s="1805">
        <f>N36*$I$36</f>
        <v>0</v>
      </c>
      <c r="O38" s="1801">
        <f>O36*$I$36</f>
        <v>0</v>
      </c>
      <c r="P38" s="163"/>
      <c r="AD38" s="163"/>
      <c r="AE38" s="163"/>
      <c r="AF38" s="163"/>
      <c r="AG38" s="163"/>
      <c r="AH38" s="163"/>
      <c r="AI38" s="163"/>
      <c r="AJ38" s="163"/>
      <c r="AK38" s="163"/>
      <c r="AL38" s="163"/>
      <c r="AM38" s="163"/>
      <c r="AN38" s="7"/>
      <c r="AO38" s="17"/>
    </row>
    <row r="39" spans="1:68" ht="16.5" customHeight="1" x14ac:dyDescent="0.2">
      <c r="A39" s="163"/>
      <c r="B39" s="3356"/>
      <c r="C39" s="1349">
        <f t="shared" si="1"/>
        <v>33</v>
      </c>
      <c r="D39" s="1347"/>
      <c r="E39" s="17" t="s">
        <v>228</v>
      </c>
      <c r="F39" s="17"/>
      <c r="G39" s="17"/>
      <c r="H39" s="17"/>
      <c r="I39" s="17"/>
      <c r="J39" s="17"/>
      <c r="K39" s="17"/>
      <c r="L39" s="1198" t="s">
        <v>154</v>
      </c>
      <c r="M39" s="235">
        <f>Maschinen!$X$43</f>
        <v>409.45977905303033</v>
      </c>
      <c r="N39" s="1186">
        <f>Maschinen!$X$43</f>
        <v>409.45977905303033</v>
      </c>
      <c r="O39" s="1192">
        <f>Maschinen!$X$43</f>
        <v>409.45977905303033</v>
      </c>
      <c r="P39" s="163"/>
      <c r="AD39" s="163"/>
      <c r="AE39" s="163"/>
      <c r="AF39" s="163"/>
      <c r="AG39" s="163"/>
      <c r="AH39" s="163"/>
      <c r="AI39" s="163"/>
      <c r="AJ39" s="163"/>
      <c r="AK39" s="163"/>
      <c r="AL39" s="163"/>
      <c r="AM39" s="163"/>
      <c r="AO39" s="671"/>
    </row>
    <row r="40" spans="1:68" ht="16.5" customHeight="1" x14ac:dyDescent="0.2">
      <c r="B40" s="3356"/>
      <c r="C40" s="1349">
        <f t="shared" si="1"/>
        <v>34</v>
      </c>
      <c r="D40" s="1295"/>
      <c r="E40" s="17" t="s">
        <v>243</v>
      </c>
      <c r="F40" s="17"/>
      <c r="G40" s="17"/>
      <c r="H40" s="17"/>
      <c r="I40" s="17"/>
      <c r="J40" s="17"/>
      <c r="K40" s="17"/>
      <c r="L40" s="1198" t="s">
        <v>154</v>
      </c>
      <c r="M40" s="235">
        <f>Maschinen!$U$54</f>
        <v>38.823749999999997</v>
      </c>
      <c r="N40" s="1186">
        <f>Maschinen!$U$54</f>
        <v>38.823749999999997</v>
      </c>
      <c r="O40" s="1192">
        <f>Maschinen!$U$54</f>
        <v>38.823749999999997</v>
      </c>
      <c r="P40" s="163"/>
      <c r="AD40" s="9"/>
      <c r="AE40" s="9"/>
      <c r="AF40" s="9"/>
      <c r="AG40" s="9"/>
      <c r="AH40" s="9"/>
      <c r="AI40" s="1075"/>
      <c r="AJ40" s="1080"/>
      <c r="AK40" s="1081"/>
      <c r="AL40" s="1080"/>
      <c r="AM40" s="1080"/>
      <c r="AO40" s="9"/>
    </row>
    <row r="41" spans="1:68" ht="16.5" customHeight="1" x14ac:dyDescent="0.2">
      <c r="B41" s="3356"/>
      <c r="C41" s="1349">
        <f t="shared" si="1"/>
        <v>35</v>
      </c>
      <c r="D41" s="1295"/>
      <c r="E41" s="17" t="s">
        <v>396</v>
      </c>
      <c r="F41" s="17"/>
      <c r="G41" s="17"/>
      <c r="H41" s="17"/>
      <c r="I41" s="17"/>
      <c r="J41" s="17"/>
      <c r="K41" s="17"/>
      <c r="L41" s="1198" t="s">
        <v>154</v>
      </c>
      <c r="M41" s="235">
        <f>'Lager-Fläche'!$L46</f>
        <v>220</v>
      </c>
      <c r="N41" s="1186">
        <f>'Lager-Fläche'!$L47</f>
        <v>270</v>
      </c>
      <c r="O41" s="1192">
        <f>'Lager-Fläche'!$L48</f>
        <v>320</v>
      </c>
      <c r="P41" s="163"/>
      <c r="AD41" s="17"/>
      <c r="AE41" s="17"/>
      <c r="AF41" s="17"/>
      <c r="AG41" s="17"/>
      <c r="AH41" s="17"/>
      <c r="AI41" s="19"/>
      <c r="AJ41" s="1082"/>
      <c r="AK41" s="1083"/>
      <c r="AL41" s="1082"/>
      <c r="AM41" s="1082"/>
      <c r="AO41" s="238"/>
    </row>
    <row r="42" spans="1:68" ht="16.5" customHeight="1" x14ac:dyDescent="0.2">
      <c r="B42" s="3356"/>
      <c r="C42" s="1372">
        <f t="shared" si="1"/>
        <v>36</v>
      </c>
      <c r="D42" s="1496"/>
      <c r="E42" s="142" t="s">
        <v>244</v>
      </c>
      <c r="F42" s="142"/>
      <c r="G42" s="142"/>
      <c r="H42" s="142"/>
      <c r="I42" s="142"/>
      <c r="J42" s="142"/>
      <c r="K42" s="142"/>
      <c r="L42" s="1212" t="s">
        <v>154</v>
      </c>
      <c r="M42" s="1437">
        <f>'Lager-Fläche'!L56</f>
        <v>124.95</v>
      </c>
      <c r="N42" s="1438">
        <f>'Lager-Fläche'!$L$56</f>
        <v>124.95</v>
      </c>
      <c r="O42" s="1439">
        <f>'Lager-Fläche'!$L$56</f>
        <v>124.95</v>
      </c>
      <c r="P42" s="163"/>
      <c r="AD42" s="17"/>
      <c r="AE42" s="17"/>
      <c r="AF42" s="17"/>
      <c r="AG42" s="17"/>
      <c r="AH42" s="17"/>
      <c r="AI42" s="19"/>
      <c r="AJ42" s="1082"/>
      <c r="AK42" s="1083"/>
      <c r="AL42" s="1082"/>
      <c r="AM42" s="1082"/>
      <c r="AO42" s="238"/>
    </row>
    <row r="43" spans="1:68" ht="20.399999999999999" customHeight="1" thickBot="1" x14ac:dyDescent="0.25">
      <c r="B43" s="3357"/>
      <c r="C43" s="1350">
        <f t="shared" si="1"/>
        <v>37</v>
      </c>
      <c r="D43" s="1193" t="s">
        <v>588</v>
      </c>
      <c r="E43" s="1334"/>
      <c r="F43" s="1451"/>
      <c r="G43" s="1451"/>
      <c r="H43" s="1451"/>
      <c r="I43" s="1451"/>
      <c r="J43" s="1451"/>
      <c r="K43" s="1451"/>
      <c r="L43" s="1209"/>
      <c r="M43" s="1449" t="e">
        <f>SUM(M37:M42)</f>
        <v>#N/A</v>
      </c>
      <c r="N43" s="1449" t="e">
        <f>SUM(N37:N42)</f>
        <v>#N/A</v>
      </c>
      <c r="O43" s="1452" t="e">
        <f>SUM(O37:O42)</f>
        <v>#N/A</v>
      </c>
      <c r="P43" s="163"/>
      <c r="AD43" s="17"/>
      <c r="AE43" s="17"/>
      <c r="AF43" s="163"/>
      <c r="AG43" s="159"/>
      <c r="AH43" s="163"/>
      <c r="AI43" s="163"/>
      <c r="AJ43" s="1082"/>
      <c r="AK43" s="1083"/>
      <c r="AL43" s="1082"/>
      <c r="AM43" s="1082"/>
      <c r="AO43" s="238"/>
    </row>
    <row r="44" spans="1:68" ht="5.95" customHeight="1" thickBot="1" x14ac:dyDescent="0.25">
      <c r="B44" s="1327"/>
      <c r="C44" s="1450"/>
      <c r="D44" s="9"/>
      <c r="F44" s="9"/>
      <c r="G44" s="9"/>
      <c r="H44" s="9"/>
      <c r="I44" s="9"/>
      <c r="J44" s="9"/>
      <c r="K44" s="9"/>
      <c r="L44" s="1198"/>
      <c r="M44" s="1314"/>
      <c r="N44" s="1498"/>
      <c r="O44" s="1441"/>
      <c r="P44" s="163"/>
      <c r="AD44" s="17"/>
      <c r="AE44" s="17"/>
      <c r="AF44" s="163"/>
      <c r="AG44" s="159"/>
      <c r="AH44" s="163"/>
      <c r="AI44" s="163"/>
      <c r="AJ44" s="1082"/>
      <c r="AK44" s="1083"/>
      <c r="AL44" s="1082"/>
      <c r="AM44" s="1082"/>
      <c r="AO44" s="238"/>
    </row>
    <row r="45" spans="1:68" ht="18.7" customHeight="1" x14ac:dyDescent="0.2">
      <c r="B45" s="3355" t="s">
        <v>30</v>
      </c>
      <c r="C45" s="1448">
        <f>C43+1</f>
        <v>38</v>
      </c>
      <c r="D45" s="1461" t="s">
        <v>555</v>
      </c>
      <c r="E45" s="1462"/>
      <c r="F45" s="1195"/>
      <c r="G45" s="1195"/>
      <c r="H45" s="1195"/>
      <c r="I45" s="1195"/>
      <c r="J45" s="1195"/>
      <c r="K45" s="1195"/>
      <c r="L45" s="1215"/>
      <c r="M45" s="1316"/>
      <c r="N45" s="1316"/>
      <c r="O45" s="1317"/>
      <c r="P45" s="163"/>
      <c r="AD45" s="17"/>
      <c r="AE45" s="17"/>
      <c r="AF45" s="163"/>
      <c r="AG45" s="159"/>
      <c r="AH45" s="163"/>
      <c r="AI45" s="163"/>
      <c r="AJ45" s="1082"/>
      <c r="AK45" s="1083"/>
      <c r="AL45" s="1082"/>
      <c r="AM45" s="1082"/>
      <c r="AO45" s="238"/>
    </row>
    <row r="46" spans="1:68" ht="18.7" customHeight="1" thickBot="1" x14ac:dyDescent="0.25">
      <c r="B46" s="3358"/>
      <c r="C46" s="1350">
        <f>C45+1</f>
        <v>39</v>
      </c>
      <c r="D46" s="1193" t="s">
        <v>589</v>
      </c>
      <c r="E46" s="1334"/>
      <c r="F46" s="1451"/>
      <c r="G46" s="1451"/>
      <c r="H46" s="1451"/>
      <c r="I46" s="1535"/>
      <c r="J46" s="1535"/>
      <c r="K46" s="1535"/>
      <c r="L46" s="1209" t="s">
        <v>154</v>
      </c>
      <c r="M46" s="1497" t="e">
        <f>M27+M30+M43</f>
        <v>#N/A</v>
      </c>
      <c r="N46" s="1497" t="e">
        <f>N27+N30+N43</f>
        <v>#N/A</v>
      </c>
      <c r="O46" s="1536" t="e">
        <f>O27+O30+O43</f>
        <v>#N/A</v>
      </c>
      <c r="P46" s="163"/>
      <c r="AD46" s="9"/>
      <c r="AE46" s="9"/>
      <c r="AF46" s="9"/>
      <c r="AG46" s="9"/>
      <c r="AH46" s="9"/>
      <c r="AI46" s="19"/>
      <c r="AJ46" s="520"/>
      <c r="AK46" s="521"/>
      <c r="AL46" s="520"/>
      <c r="AM46" s="520"/>
      <c r="AO46" s="9"/>
    </row>
    <row r="47" spans="1:68" ht="18.7" customHeight="1" x14ac:dyDescent="0.2">
      <c r="B47" s="3358"/>
      <c r="C47" s="1448">
        <f>C46+1</f>
        <v>40</v>
      </c>
      <c r="D47" s="1461" t="s">
        <v>590</v>
      </c>
      <c r="E47" s="1462"/>
      <c r="F47" s="1195"/>
      <c r="G47" s="1195"/>
      <c r="H47" s="1195"/>
      <c r="I47" s="1195"/>
      <c r="J47" s="1195"/>
      <c r="K47" s="1195"/>
      <c r="L47" s="1215" t="s">
        <v>154</v>
      </c>
      <c r="M47" s="1667" t="e">
        <f>M45-M46</f>
        <v>#N/A</v>
      </c>
      <c r="N47" s="1667" t="e">
        <f>N45-N46</f>
        <v>#N/A</v>
      </c>
      <c r="O47" s="1668" t="e">
        <f>O45-O46</f>
        <v>#N/A</v>
      </c>
      <c r="P47" s="163"/>
      <c r="AD47" s="9"/>
      <c r="AE47" s="9"/>
      <c r="AF47" s="9"/>
      <c r="AG47" s="9"/>
      <c r="AH47" s="237"/>
      <c r="AI47" s="237"/>
      <c r="AJ47" s="1082"/>
      <c r="AK47" s="1083"/>
      <c r="AL47" s="1082"/>
      <c r="AM47" s="1082"/>
      <c r="AO47" s="9"/>
    </row>
    <row r="48" spans="1:68" s="1446" customFormat="1" ht="18.7" customHeight="1" x14ac:dyDescent="0.2">
      <c r="A48" s="645"/>
      <c r="B48" s="3358"/>
      <c r="C48" s="1369">
        <f>C47+1</f>
        <v>41</v>
      </c>
      <c r="D48" s="1543" t="s">
        <v>569</v>
      </c>
      <c r="E48" s="1463"/>
      <c r="F48" s="1464"/>
      <c r="G48" s="1464"/>
      <c r="H48" s="1464"/>
      <c r="I48" s="1465"/>
      <c r="J48" s="1465"/>
      <c r="K48" s="1465"/>
      <c r="L48" s="1466" t="s">
        <v>154</v>
      </c>
      <c r="M48" s="1664">
        <f>M17</f>
        <v>580</v>
      </c>
      <c r="N48" s="1665">
        <f>N17</f>
        <v>580</v>
      </c>
      <c r="O48" s="1666">
        <f>O17</f>
        <v>580</v>
      </c>
      <c r="P48" s="1443"/>
      <c r="Q48" s="645"/>
      <c r="R48" s="645"/>
      <c r="S48" s="645"/>
      <c r="T48" s="645"/>
      <c r="U48" s="645"/>
      <c r="V48" s="645"/>
      <c r="W48" s="645"/>
      <c r="X48" s="645"/>
      <c r="Y48" s="645"/>
      <c r="Z48" s="645"/>
      <c r="AA48" s="645"/>
      <c r="AB48" s="645"/>
      <c r="AC48" s="645"/>
      <c r="AD48" s="1442"/>
      <c r="AE48" s="1442"/>
      <c r="AF48" s="1442"/>
      <c r="AG48" s="1442"/>
      <c r="AH48" s="17"/>
      <c r="AI48" s="17"/>
      <c r="AJ48" s="1444"/>
      <c r="AK48" s="1445"/>
      <c r="AL48" s="1444"/>
      <c r="AM48" s="1444"/>
      <c r="AN48" s="645"/>
      <c r="AO48" s="1442"/>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row>
    <row r="49" spans="1:68" ht="18.7" customHeight="1" thickBot="1" x14ac:dyDescent="0.25">
      <c r="B49" s="3359"/>
      <c r="C49" s="1350">
        <f>C48+1</f>
        <v>42</v>
      </c>
      <c r="D49" s="1467" t="s">
        <v>591</v>
      </c>
      <c r="E49" s="1334"/>
      <c r="F49" s="1451"/>
      <c r="G49" s="1451"/>
      <c r="H49" s="1451"/>
      <c r="I49" s="1451"/>
      <c r="J49" s="1451"/>
      <c r="K49" s="1451"/>
      <c r="L49" s="1209" t="s">
        <v>154</v>
      </c>
      <c r="M49" s="1449" t="e">
        <f>M47+M48</f>
        <v>#N/A</v>
      </c>
      <c r="N49" s="1449" t="e">
        <f>N47+N48</f>
        <v>#N/A</v>
      </c>
      <c r="O49" s="1452" t="e">
        <f>O47+O48</f>
        <v>#N/A</v>
      </c>
      <c r="P49" s="163"/>
      <c r="AD49" s="9"/>
      <c r="AE49" s="9"/>
      <c r="AF49" s="9"/>
      <c r="AG49" s="9"/>
      <c r="AH49" s="237"/>
      <c r="AI49" s="237"/>
      <c r="AJ49" s="1082"/>
      <c r="AK49" s="1083"/>
      <c r="AL49" s="1082"/>
      <c r="AM49" s="1082"/>
      <c r="AO49" s="9"/>
    </row>
    <row r="50" spans="1:68" s="7" customFormat="1" ht="7.15" customHeight="1" thickBot="1" x14ac:dyDescent="0.25">
      <c r="B50" s="1468"/>
      <c r="C50" s="1450"/>
      <c r="D50" s="1475"/>
      <c r="E50" s="1471"/>
      <c r="F50" s="1472"/>
      <c r="G50" s="1472"/>
      <c r="H50" s="1472"/>
      <c r="I50" s="1472"/>
      <c r="J50" s="1472"/>
      <c r="K50" s="1472"/>
      <c r="L50" s="1370"/>
      <c r="M50" s="1500"/>
      <c r="N50" s="1500"/>
      <c r="O50" s="1500"/>
      <c r="P50" s="163"/>
      <c r="AD50" s="9"/>
      <c r="AE50" s="9"/>
      <c r="AF50" s="9"/>
      <c r="AG50" s="9"/>
      <c r="AH50" s="237"/>
      <c r="AI50" s="237"/>
      <c r="AJ50" s="1082"/>
      <c r="AK50" s="1083"/>
      <c r="AL50" s="1082"/>
      <c r="AM50" s="1082"/>
      <c r="AO50" s="9"/>
    </row>
    <row r="51" spans="1:68" ht="18" customHeight="1" x14ac:dyDescent="0.2">
      <c r="B51" s="3397"/>
      <c r="C51" s="1448">
        <f>C49+1</f>
        <v>43</v>
      </c>
      <c r="D51" s="1333" t="s">
        <v>578</v>
      </c>
      <c r="E51" s="1462"/>
      <c r="F51" s="1195"/>
      <c r="G51" s="1195"/>
      <c r="H51" s="1195"/>
      <c r="I51" s="1195"/>
      <c r="J51" s="1462"/>
      <c r="K51" s="1462"/>
      <c r="L51" s="1215" t="s">
        <v>154</v>
      </c>
      <c r="M51" s="1315" t="e">
        <f>M46-M48</f>
        <v>#N/A</v>
      </c>
      <c r="N51" s="1315" t="e">
        <f>N46-N48</f>
        <v>#N/A</v>
      </c>
      <c r="O51" s="2149" t="e">
        <f>O46-O48</f>
        <v>#N/A</v>
      </c>
      <c r="P51" s="163"/>
      <c r="AD51" s="17"/>
      <c r="AE51" s="17"/>
      <c r="AF51" s="17"/>
      <c r="AG51" s="17"/>
      <c r="AH51" s="238"/>
      <c r="AI51" s="19"/>
      <c r="AJ51" s="1082"/>
      <c r="AK51" s="1083"/>
      <c r="AL51" s="1082"/>
      <c r="AM51" s="1082"/>
      <c r="AO51" s="9"/>
    </row>
    <row r="52" spans="1:68" ht="16.5" customHeight="1" x14ac:dyDescent="0.2">
      <c r="B52" s="3356"/>
      <c r="C52" s="1349">
        <f t="shared" ref="C52:C62" si="2">C51+1</f>
        <v>44</v>
      </c>
      <c r="D52" s="1188"/>
      <c r="E52" s="1318"/>
      <c r="F52" s="1182"/>
      <c r="G52" s="1182"/>
      <c r="H52" s="1182"/>
      <c r="I52" s="1294"/>
      <c r="J52" s="1294"/>
      <c r="L52" s="1370" t="s">
        <v>101</v>
      </c>
      <c r="M52" s="1739" t="e">
        <f>IF(M10=0,0,M$51/M10)</f>
        <v>#N/A</v>
      </c>
      <c r="N52" s="1740" t="e">
        <f>IF(N10=0,0,N$51/N10)</f>
        <v>#N/A</v>
      </c>
      <c r="O52" s="1741" t="e">
        <f>IF(O10=0,0,O$51/O10)</f>
        <v>#N/A</v>
      </c>
      <c r="P52" s="163"/>
      <c r="AD52" s="17"/>
      <c r="AE52" s="17"/>
      <c r="AF52" s="17"/>
      <c r="AG52" s="17"/>
      <c r="AH52" s="238"/>
      <c r="AI52" s="19"/>
      <c r="AJ52" s="1082"/>
      <c r="AK52" s="1083"/>
      <c r="AL52" s="1082"/>
      <c r="AM52" s="1082"/>
      <c r="AO52" s="9"/>
    </row>
    <row r="53" spans="1:68" ht="16.5" customHeight="1" x14ac:dyDescent="0.2">
      <c r="B53" s="3356"/>
      <c r="C53" s="1349">
        <f t="shared" si="2"/>
        <v>45</v>
      </c>
      <c r="E53" s="1375" t="s">
        <v>318</v>
      </c>
      <c r="G53" s="1182"/>
      <c r="H53" s="1182"/>
      <c r="I53" s="1294"/>
      <c r="J53" s="1294"/>
      <c r="K53" s="1473"/>
      <c r="L53" s="1370" t="s">
        <v>464</v>
      </c>
      <c r="M53" s="1739" t="e">
        <f>IF(M9=0,0,M$51/M9)</f>
        <v>#N/A</v>
      </c>
      <c r="N53" s="1740" t="e">
        <f>IF(N9=0,0,N$51/N9)</f>
        <v>#N/A</v>
      </c>
      <c r="O53" s="1741" t="e">
        <f>IF(O9=0,0,O$51/O9)</f>
        <v>#N/A</v>
      </c>
      <c r="P53" s="163"/>
      <c r="AD53" s="17"/>
      <c r="AE53" s="17"/>
      <c r="AF53" s="17"/>
      <c r="AG53" s="17"/>
      <c r="AH53" s="238"/>
      <c r="AI53" s="19"/>
      <c r="AJ53" s="1082"/>
      <c r="AK53" s="1083"/>
      <c r="AL53" s="1082"/>
      <c r="AM53" s="1082"/>
      <c r="AO53" s="9"/>
    </row>
    <row r="54" spans="1:68" ht="16.5" customHeight="1" x14ac:dyDescent="0.2">
      <c r="B54" s="3356"/>
      <c r="C54" s="1349">
        <f t="shared" si="2"/>
        <v>46</v>
      </c>
      <c r="E54" s="1501" t="s">
        <v>592</v>
      </c>
      <c r="F54" s="1472"/>
      <c r="G54" s="1472"/>
      <c r="H54" s="1472"/>
      <c r="I54" s="1473"/>
      <c r="J54" s="1473"/>
      <c r="K54" s="1473"/>
      <c r="L54" s="1370" t="s">
        <v>374</v>
      </c>
      <c r="M54" s="1739">
        <f t="shared" ref="M54:O55" si="3">IF(M11=0,0,M$51/M11)</f>
        <v>0</v>
      </c>
      <c r="N54" s="1740">
        <f t="shared" si="3"/>
        <v>0</v>
      </c>
      <c r="O54" s="1741">
        <f t="shared" si="3"/>
        <v>0</v>
      </c>
      <c r="P54" s="163"/>
      <c r="AD54" s="17"/>
      <c r="AE54" s="17"/>
      <c r="AF54" s="17"/>
      <c r="AG54" s="17"/>
      <c r="AH54" s="238"/>
      <c r="AI54" s="19"/>
      <c r="AJ54" s="1082"/>
      <c r="AK54" s="1083"/>
      <c r="AL54" s="1082"/>
      <c r="AM54" s="1082"/>
      <c r="AO54" s="9"/>
    </row>
    <row r="55" spans="1:68" ht="16.5" customHeight="1" x14ac:dyDescent="0.2">
      <c r="B55" s="3356"/>
      <c r="C55" s="1349">
        <f t="shared" si="2"/>
        <v>47</v>
      </c>
      <c r="D55" s="1474"/>
      <c r="E55" s="1476"/>
      <c r="F55" s="1477"/>
      <c r="G55" s="1477"/>
      <c r="H55" s="1477"/>
      <c r="I55" s="1473"/>
      <c r="J55" s="1473"/>
      <c r="K55" s="1473"/>
      <c r="L55" s="1370" t="s">
        <v>158</v>
      </c>
      <c r="M55" s="1658" t="e">
        <f t="shared" si="3"/>
        <v>#N/A</v>
      </c>
      <c r="N55" s="1659" t="e">
        <f t="shared" si="3"/>
        <v>#N/A</v>
      </c>
      <c r="O55" s="1660" t="e">
        <f t="shared" si="3"/>
        <v>#N/A</v>
      </c>
      <c r="P55" s="163"/>
      <c r="AD55" s="104"/>
      <c r="AE55" s="104"/>
      <c r="AF55" s="104"/>
      <c r="AG55" s="104"/>
      <c r="AH55" s="239"/>
      <c r="AI55" s="19"/>
      <c r="AJ55" s="1084"/>
      <c r="AK55" s="1085"/>
      <c r="AL55" s="1084"/>
      <c r="AM55" s="1084"/>
      <c r="AO55" s="9"/>
    </row>
    <row r="56" spans="1:68" ht="16.5" customHeight="1" x14ac:dyDescent="0.2">
      <c r="B56" s="3356"/>
      <c r="C56" s="1349">
        <f t="shared" ref="C56:C61" si="4">C55+1</f>
        <v>48</v>
      </c>
      <c r="D56" s="1474"/>
      <c r="E56" s="2165"/>
      <c r="F56" s="1477"/>
      <c r="G56" s="1477"/>
      <c r="H56" s="1477"/>
      <c r="I56" s="1473"/>
      <c r="J56" s="1473"/>
      <c r="K56" s="1473"/>
      <c r="L56" s="1370" t="s">
        <v>159</v>
      </c>
      <c r="M56" s="1658" t="e">
        <f>IF(M13=0,0,M$51/M13)</f>
        <v>#N/A</v>
      </c>
      <c r="N56" s="1659" t="e">
        <f>IF(N13=0,0,N$51/N13)</f>
        <v>#N/A</v>
      </c>
      <c r="O56" s="1660" t="e">
        <f>IF(O13=0,0,O$51/O13)</f>
        <v>#N/A</v>
      </c>
      <c r="P56" s="163"/>
      <c r="AD56" s="104"/>
      <c r="AE56" s="104"/>
      <c r="AF56" s="104"/>
      <c r="AG56" s="104"/>
      <c r="AH56" s="239"/>
      <c r="AI56" s="19"/>
      <c r="AJ56" s="1084"/>
      <c r="AK56" s="1085"/>
      <c r="AL56" s="1084"/>
      <c r="AM56" s="1084"/>
      <c r="AO56" s="9"/>
    </row>
    <row r="57" spans="1:68" ht="16.5" customHeight="1" x14ac:dyDescent="0.2">
      <c r="B57" s="3356"/>
      <c r="C57" s="1372">
        <f t="shared" si="4"/>
        <v>49</v>
      </c>
      <c r="D57" s="1478"/>
      <c r="E57" s="2164" t="s">
        <v>571</v>
      </c>
      <c r="F57" s="2148">
        <v>36</v>
      </c>
      <c r="G57" s="379" t="s">
        <v>579</v>
      </c>
      <c r="H57" s="1480"/>
      <c r="I57" s="1481"/>
      <c r="J57" s="1481"/>
      <c r="K57" s="1481"/>
      <c r="L57" s="1482" t="s">
        <v>583</v>
      </c>
      <c r="M57" s="1661" t="e">
        <f>M51/$M$12*10/$F$57</f>
        <v>#N/A</v>
      </c>
      <c r="N57" s="1662" t="e">
        <f>N51/$N$12*10/$F$57</f>
        <v>#N/A</v>
      </c>
      <c r="O57" s="1663" t="e">
        <f>O51/$O$12*10/$F$57</f>
        <v>#N/A</v>
      </c>
      <c r="P57" s="163"/>
      <c r="AD57" s="104"/>
      <c r="AE57" s="104"/>
      <c r="AF57" s="104"/>
      <c r="AG57" s="104"/>
      <c r="AH57" s="239"/>
      <c r="AI57" s="19"/>
      <c r="AJ57" s="1084"/>
      <c r="AK57" s="1085"/>
      <c r="AL57" s="1084"/>
      <c r="AM57" s="1084"/>
      <c r="AO57" s="9"/>
    </row>
    <row r="58" spans="1:68" s="291" customFormat="1" ht="21.25" customHeight="1" x14ac:dyDescent="0.2">
      <c r="B58" s="3356"/>
      <c r="C58" s="1349">
        <f t="shared" si="4"/>
        <v>50</v>
      </c>
      <c r="D58" s="1185" t="s">
        <v>580</v>
      </c>
      <c r="E58" s="1484"/>
      <c r="F58" s="1182"/>
      <c r="G58" s="1182"/>
      <c r="H58" s="1182"/>
      <c r="I58" s="1294"/>
      <c r="J58" s="1294"/>
      <c r="K58" s="1294"/>
      <c r="L58" s="1208" t="s">
        <v>154</v>
      </c>
      <c r="M58" s="1313" t="e">
        <f>M51-M38</f>
        <v>#N/A</v>
      </c>
      <c r="N58" s="1313" t="e">
        <f>N51-N38</f>
        <v>#N/A</v>
      </c>
      <c r="O58" s="1320" t="e">
        <f>O51-O38</f>
        <v>#N/A</v>
      </c>
      <c r="P58" s="247"/>
      <c r="AD58" s="132"/>
      <c r="AE58" s="132"/>
      <c r="AF58" s="132"/>
      <c r="AG58" s="132"/>
      <c r="AH58" s="377"/>
      <c r="AI58" s="376"/>
      <c r="AJ58" s="1086"/>
      <c r="AK58" s="1086"/>
      <c r="AL58" s="1086"/>
      <c r="AM58" s="1086"/>
      <c r="AO58" s="373"/>
    </row>
    <row r="59" spans="1:68" s="291" customFormat="1" ht="16.5" customHeight="1" x14ac:dyDescent="0.2">
      <c r="B59" s="3356"/>
      <c r="C59" s="1349">
        <f t="shared" si="4"/>
        <v>51</v>
      </c>
      <c r="D59" s="1185"/>
      <c r="E59" s="2172" t="s">
        <v>593</v>
      </c>
      <c r="F59" s="1182"/>
      <c r="G59" s="1182"/>
      <c r="H59" s="1182"/>
      <c r="I59" s="1294"/>
      <c r="J59" s="1294"/>
      <c r="K59" s="1294"/>
      <c r="L59" s="1208" t="s">
        <v>464</v>
      </c>
      <c r="M59" s="2166" t="e">
        <f>M58/M7</f>
        <v>#N/A</v>
      </c>
      <c r="N59" s="2166" t="e">
        <f>N58/N7</f>
        <v>#N/A</v>
      </c>
      <c r="O59" s="2167" t="e">
        <f>O58/O7</f>
        <v>#N/A</v>
      </c>
      <c r="P59" s="247"/>
      <c r="AD59" s="132"/>
      <c r="AE59" s="132"/>
      <c r="AF59" s="132"/>
      <c r="AG59" s="132"/>
      <c r="AH59" s="377"/>
      <c r="AI59" s="376"/>
      <c r="AJ59" s="1086"/>
      <c r="AK59" s="1086"/>
      <c r="AL59" s="1086"/>
      <c r="AM59" s="1086"/>
      <c r="AO59" s="373"/>
    </row>
    <row r="60" spans="1:68" s="371" customFormat="1" ht="16.5" customHeight="1" x14ac:dyDescent="0.2">
      <c r="A60" s="291"/>
      <c r="B60" s="3356"/>
      <c r="C60" s="1349">
        <f t="shared" si="4"/>
        <v>52</v>
      </c>
      <c r="D60" s="1475"/>
      <c r="E60" s="1471"/>
      <c r="F60" s="1476"/>
      <c r="G60" s="1476"/>
      <c r="H60" s="1476"/>
      <c r="I60" s="1965"/>
      <c r="J60" s="374"/>
      <c r="K60" s="374"/>
      <c r="L60" s="1214" t="s">
        <v>158</v>
      </c>
      <c r="M60" s="1656" t="e">
        <f>IF(M12=0,0,M$58/M12)</f>
        <v>#N/A</v>
      </c>
      <c r="N60" s="1580" t="e">
        <f>IF(N12=0,0,N$58/N12)</f>
        <v>#N/A</v>
      </c>
      <c r="O60" s="1657" t="e">
        <f>IF(O12=0,0,O$58/O12)</f>
        <v>#N/A</v>
      </c>
      <c r="P60" s="247"/>
      <c r="Q60" s="291"/>
      <c r="R60" s="291"/>
      <c r="S60" s="291"/>
      <c r="T60" s="291"/>
      <c r="U60" s="291"/>
      <c r="V60" s="291"/>
      <c r="W60" s="291"/>
      <c r="X60" s="291"/>
      <c r="Y60" s="291"/>
      <c r="Z60" s="291"/>
      <c r="AA60" s="291"/>
      <c r="AB60" s="291"/>
      <c r="AC60" s="291"/>
      <c r="AD60" s="132"/>
      <c r="AE60" s="132"/>
      <c r="AF60" s="132"/>
      <c r="AG60" s="132"/>
      <c r="AH60" s="377"/>
      <c r="AI60" s="376"/>
      <c r="AJ60" s="1086"/>
      <c r="AK60" s="1086"/>
      <c r="AL60" s="1086"/>
      <c r="AM60" s="1086"/>
      <c r="AN60" s="291"/>
      <c r="AO60" s="373"/>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row>
    <row r="61" spans="1:68" s="371" customFormat="1" ht="16.5" customHeight="1" x14ac:dyDescent="0.2">
      <c r="A61" s="291"/>
      <c r="B61" s="3356"/>
      <c r="C61" s="1349">
        <f t="shared" si="4"/>
        <v>53</v>
      </c>
      <c r="D61" s="2169"/>
      <c r="E61" s="291"/>
      <c r="F61" s="291"/>
      <c r="G61" s="291"/>
      <c r="H61" s="375"/>
      <c r="I61" s="374"/>
      <c r="J61" s="374"/>
      <c r="K61" s="1473"/>
      <c r="L61" s="1214" t="s">
        <v>583</v>
      </c>
      <c r="M61" s="2170" t="e">
        <f>M58/$M$12*10/$F$57</f>
        <v>#N/A</v>
      </c>
      <c r="N61" s="1580" t="e">
        <f>N58/$N$12*10/$F$57</f>
        <v>#N/A</v>
      </c>
      <c r="O61" s="2171" t="e">
        <f>O58/$O$12*10/$F$57</f>
        <v>#N/A</v>
      </c>
      <c r="P61" s="247"/>
      <c r="Q61" s="291"/>
      <c r="R61" s="291"/>
      <c r="S61" s="291"/>
      <c r="T61" s="291"/>
      <c r="U61" s="291"/>
      <c r="V61" s="291"/>
      <c r="W61" s="291"/>
      <c r="X61" s="291"/>
      <c r="Y61" s="291"/>
      <c r="Z61" s="291"/>
      <c r="AA61" s="291"/>
      <c r="AB61" s="291"/>
      <c r="AC61" s="291"/>
      <c r="AD61" s="132"/>
      <c r="AE61" s="132"/>
      <c r="AF61" s="132"/>
      <c r="AG61" s="132"/>
      <c r="AH61" s="377"/>
      <c r="AI61" s="376"/>
      <c r="AJ61" s="1086"/>
      <c r="AK61" s="1086"/>
      <c r="AL61" s="1086"/>
      <c r="AM61" s="1086"/>
      <c r="AN61" s="291"/>
      <c r="AO61" s="373"/>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row>
    <row r="62" spans="1:68" s="371" customFormat="1" ht="16.5" customHeight="1" x14ac:dyDescent="0.2">
      <c r="A62" s="291"/>
      <c r="B62" s="3356"/>
      <c r="C62" s="1372">
        <f t="shared" si="2"/>
        <v>54</v>
      </c>
      <c r="D62" s="570"/>
      <c r="E62" s="2168"/>
      <c r="F62" s="379"/>
      <c r="G62" s="379"/>
      <c r="H62" s="379"/>
      <c r="I62" s="380"/>
      <c r="J62" s="380"/>
      <c r="K62" s="1481"/>
      <c r="L62" s="1216" t="s">
        <v>159</v>
      </c>
      <c r="M62" s="1487" t="e">
        <f>IF(M13=0,0,M$58/M13)</f>
        <v>#N/A</v>
      </c>
      <c r="N62" s="1377" t="e">
        <f>IF(N13=0,0,N$58/N13)</f>
        <v>#N/A</v>
      </c>
      <c r="O62" s="1488" t="e">
        <f>IF(O13=0,0,O$58/O13)</f>
        <v>#N/A</v>
      </c>
      <c r="P62" s="247"/>
      <c r="Q62" s="291"/>
      <c r="R62" s="291"/>
      <c r="S62" s="291"/>
      <c r="T62" s="291"/>
      <c r="U62" s="291"/>
      <c r="V62" s="291"/>
      <c r="W62" s="291"/>
      <c r="X62" s="291"/>
      <c r="Y62" s="291"/>
      <c r="Z62" s="291"/>
      <c r="AA62" s="291"/>
      <c r="AB62" s="291"/>
      <c r="AC62" s="291"/>
      <c r="AD62" s="132"/>
      <c r="AE62" s="132"/>
      <c r="AF62" s="132"/>
      <c r="AG62" s="132"/>
      <c r="AH62" s="377"/>
      <c r="AI62" s="376"/>
      <c r="AJ62" s="1086"/>
      <c r="AK62" s="1086"/>
      <c r="AL62" s="1086"/>
      <c r="AM62" s="1086"/>
      <c r="AN62" s="291"/>
      <c r="AO62" s="373"/>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row>
    <row r="63" spans="1:68" s="291" customFormat="1" ht="10.55" customHeight="1" thickBot="1" x14ac:dyDescent="0.25">
      <c r="B63" s="3396"/>
      <c r="C63" s="1568"/>
      <c r="D63" s="966"/>
      <c r="F63" s="966"/>
      <c r="G63" s="966"/>
      <c r="H63" s="966"/>
      <c r="I63" s="1457"/>
      <c r="J63" s="1457"/>
      <c r="K63" s="1457"/>
      <c r="L63" s="1458"/>
      <c r="M63" s="1459"/>
      <c r="N63" s="1460"/>
      <c r="O63" s="1459"/>
      <c r="P63" s="247"/>
      <c r="AD63" s="132"/>
      <c r="AE63" s="132"/>
      <c r="AF63" s="132"/>
      <c r="AG63" s="132"/>
      <c r="AH63" s="377"/>
      <c r="AI63" s="376"/>
      <c r="AJ63" s="1086"/>
      <c r="AK63" s="1086"/>
      <c r="AL63" s="1086"/>
      <c r="AM63" s="1086"/>
      <c r="AO63" s="373"/>
    </row>
    <row r="64" spans="1:68" ht="16.5" customHeight="1" x14ac:dyDescent="0.2">
      <c r="B64" s="3356"/>
      <c r="C64" s="1448">
        <f>C62+1</f>
        <v>55</v>
      </c>
      <c r="D64" s="1461" t="s">
        <v>594</v>
      </c>
      <c r="E64" s="1462"/>
      <c r="F64" s="1333"/>
      <c r="G64" s="1333"/>
      <c r="H64" s="1333"/>
      <c r="I64" s="1333"/>
      <c r="J64" s="1333"/>
      <c r="K64" s="1333"/>
      <c r="L64" s="1215" t="s">
        <v>154</v>
      </c>
      <c r="M64" s="1316" t="e">
        <f>SUM(M19:M23)+M30</f>
        <v>#N/A</v>
      </c>
      <c r="N64" s="1316" t="e">
        <f>SUM(N19:N23)+N30</f>
        <v>#N/A</v>
      </c>
      <c r="O64" s="1317" t="e">
        <f>SUM(O19:O23)+O30</f>
        <v>#N/A</v>
      </c>
      <c r="P64" s="163"/>
      <c r="AD64" s="233"/>
      <c r="AE64" s="233"/>
      <c r="AF64" s="233"/>
      <c r="AG64" s="233"/>
      <c r="AH64" s="233"/>
      <c r="AI64" s="19"/>
      <c r="AJ64" s="520"/>
      <c r="AK64" s="521"/>
      <c r="AL64" s="520"/>
      <c r="AM64" s="520"/>
      <c r="AO64" s="233"/>
    </row>
    <row r="65" spans="2:41" ht="16.5" customHeight="1" x14ac:dyDescent="0.2">
      <c r="B65" s="3356"/>
      <c r="C65" s="1372">
        <f>C64+1</f>
        <v>56</v>
      </c>
      <c r="D65" s="1485"/>
      <c r="E65" s="1486"/>
      <c r="F65" s="1485"/>
      <c r="G65" s="1485"/>
      <c r="H65" s="1485"/>
      <c r="I65" s="1485"/>
      <c r="J65" s="1485"/>
      <c r="K65" s="1485"/>
      <c r="L65" s="1482" t="s">
        <v>158</v>
      </c>
      <c r="M65" s="1487" t="e">
        <f>M64/M12</f>
        <v>#N/A</v>
      </c>
      <c r="N65" s="1377" t="e">
        <f>N64/N12</f>
        <v>#N/A</v>
      </c>
      <c r="O65" s="1488" t="e">
        <f>O64/O12</f>
        <v>#N/A</v>
      </c>
      <c r="P65" s="163"/>
      <c r="AD65" s="233"/>
      <c r="AE65" s="233"/>
      <c r="AF65" s="233"/>
      <c r="AG65" s="233"/>
      <c r="AH65" s="233"/>
      <c r="AI65" s="19"/>
      <c r="AJ65" s="520"/>
      <c r="AK65" s="521"/>
      <c r="AL65" s="520"/>
      <c r="AM65" s="520"/>
      <c r="AO65" s="233"/>
    </row>
    <row r="66" spans="2:41" ht="16.5" customHeight="1" x14ac:dyDescent="0.2">
      <c r="B66" s="3356"/>
      <c r="C66" s="1349">
        <f>C65+1</f>
        <v>57</v>
      </c>
      <c r="D66" s="1492" t="s">
        <v>595</v>
      </c>
      <c r="E66" s="1378"/>
      <c r="F66" s="1493"/>
      <c r="G66" s="1493"/>
      <c r="H66" s="1493"/>
      <c r="I66" s="1493"/>
      <c r="J66" s="1493"/>
      <c r="K66" s="1493"/>
      <c r="L66" s="1332" t="s">
        <v>154</v>
      </c>
      <c r="M66" s="1494" t="e">
        <f>M24+M25+M26+M39+M37</f>
        <v>#N/A</v>
      </c>
      <c r="N66" s="1494" t="e">
        <f>N24+N25+N26+N39+N37</f>
        <v>#N/A</v>
      </c>
      <c r="O66" s="1495" t="e">
        <f>O24+O25+O26+O39+O37</f>
        <v>#N/A</v>
      </c>
      <c r="P66" s="163"/>
      <c r="AD66" s="233"/>
      <c r="AE66" s="233"/>
      <c r="AF66" s="233"/>
      <c r="AG66" s="233"/>
      <c r="AH66" s="233"/>
      <c r="AI66" s="19"/>
      <c r="AJ66" s="520"/>
      <c r="AK66" s="521"/>
      <c r="AL66" s="520"/>
      <c r="AM66" s="520"/>
      <c r="AO66" s="233"/>
    </row>
    <row r="67" spans="2:41" ht="14.95" customHeight="1" thickBot="1" x14ac:dyDescent="0.25">
      <c r="B67" s="3357"/>
      <c r="C67" s="1350">
        <f>C66+1</f>
        <v>58</v>
      </c>
      <c r="D67" s="1489" t="s">
        <v>596</v>
      </c>
      <c r="E67" s="1490"/>
      <c r="F67" s="1490"/>
      <c r="G67" s="1490"/>
      <c r="H67" s="1490"/>
      <c r="I67" s="1490"/>
      <c r="J67" s="1490"/>
      <c r="K67" s="1490"/>
      <c r="L67" s="1491" t="s">
        <v>158</v>
      </c>
      <c r="M67" s="1614" t="e">
        <f>M66/M12</f>
        <v>#N/A</v>
      </c>
      <c r="N67" s="1612" t="e">
        <f>N66/N12</f>
        <v>#N/A</v>
      </c>
      <c r="O67" s="1631" t="e">
        <f>O66/O12</f>
        <v>#N/A</v>
      </c>
      <c r="P67" s="163"/>
      <c r="AD67" s="17"/>
      <c r="AE67" s="17"/>
      <c r="AF67" s="17"/>
      <c r="AG67" s="17"/>
      <c r="AH67" s="17"/>
      <c r="AI67" s="19"/>
      <c r="AJ67" s="1082"/>
      <c r="AK67" s="1083"/>
      <c r="AL67" s="1082"/>
      <c r="AM67" s="1082"/>
      <c r="AO67" s="238"/>
    </row>
    <row r="68" spans="2:41" x14ac:dyDescent="0.2">
      <c r="C68" s="1312"/>
    </row>
    <row r="69" spans="2:41" x14ac:dyDescent="0.2">
      <c r="C69" s="7" t="s">
        <v>584</v>
      </c>
    </row>
    <row r="78" spans="2:41" x14ac:dyDescent="0.2">
      <c r="H78" s="1799"/>
    </row>
    <row r="90" spans="5:29" x14ac:dyDescent="0.2">
      <c r="E90"/>
      <c r="F90"/>
      <c r="G90"/>
      <c r="H90"/>
      <c r="I90"/>
      <c r="J90"/>
      <c r="K90"/>
      <c r="L90" s="193"/>
      <c r="M90"/>
      <c r="N90"/>
      <c r="O90"/>
      <c r="P90" s="163"/>
      <c r="Q90" s="163"/>
      <c r="R90" s="163"/>
      <c r="S90" s="163"/>
      <c r="T90" s="163"/>
      <c r="U90" s="163"/>
      <c r="V90" s="163"/>
      <c r="W90" s="163"/>
      <c r="X90" s="163"/>
      <c r="Y90" s="163"/>
      <c r="Z90" s="163"/>
      <c r="AA90" s="163"/>
      <c r="AB90" s="163"/>
      <c r="AC90" s="163"/>
    </row>
    <row r="91" spans="5:29" x14ac:dyDescent="0.2">
      <c r="E91"/>
      <c r="F91"/>
      <c r="G91"/>
      <c r="H91"/>
      <c r="I91"/>
      <c r="J91"/>
      <c r="K91"/>
      <c r="L91" s="193"/>
      <c r="M91"/>
      <c r="N91"/>
      <c r="O91"/>
      <c r="P91" s="163"/>
      <c r="Q91" s="163"/>
      <c r="R91" s="163"/>
      <c r="S91" s="163"/>
      <c r="T91" s="163"/>
      <c r="U91" s="163"/>
      <c r="V91" s="163"/>
      <c r="W91" s="163"/>
      <c r="X91" s="163"/>
      <c r="Y91" s="163"/>
      <c r="Z91" s="163"/>
      <c r="AA91" s="163"/>
      <c r="AB91" s="163"/>
      <c r="AC91" s="163"/>
    </row>
  </sheetData>
  <customSheetViews>
    <customSheetView guid="{32760361-675F-4FBF-A5CA-B0597C10371F}" scale="80" showGridLines="0" zeroValues="0" fitToPage="1" state="hidden">
      <pane xSplit="12" ySplit="6" topLeftCell="M7" activePane="bottomRight" state="frozen"/>
      <selection pane="bottomRight" activeCell="H63" sqref="H63"/>
      <pageMargins left="0.51181102362204722" right="0.27559055118110237" top="0.55118110236220474" bottom="0.70866141732283472" header="0.51181102362204722" footer="0.31496062992125984"/>
      <printOptions horizontalCentered="1"/>
      <pageSetup paperSize="9" scale="68" firstPageNumber="15" orientation="portrait" horizontalDpi="300" verticalDpi="300" r:id="rId1"/>
      <headerFooter alignWithMargins="0">
        <oddFooter>&amp;L&amp;12LEL Schwäbisch Gmünd (Abtlg. II)
LAZBW Aulendorf&amp;C&amp;12 53&amp;9
&amp;R&amp;12&amp;F
&amp;A</oddFooter>
      </headerFooter>
    </customSheetView>
  </customSheetViews>
  <mergeCells count="10">
    <mergeCell ref="B51:B67"/>
    <mergeCell ref="D19:D23"/>
    <mergeCell ref="B45:B49"/>
    <mergeCell ref="B35:B43"/>
    <mergeCell ref="G3:O3"/>
    <mergeCell ref="B2:B4"/>
    <mergeCell ref="B19:B27"/>
    <mergeCell ref="B6:B13"/>
    <mergeCell ref="B15:B17"/>
    <mergeCell ref="B28:B33"/>
  </mergeCells>
  <phoneticPr fontId="0" type="noConversion"/>
  <printOptions horizontalCentered="1"/>
  <pageMargins left="0.51181102362204722" right="0.27559055118110237" top="0.55118110236220474" bottom="0.70866141732283472" header="0.51181102362204722" footer="0.31496062992125984"/>
  <pageSetup paperSize="9" scale="68" firstPageNumber="15" orientation="portrait" horizontalDpi="300" verticalDpi="300" r:id="rId2"/>
  <headerFooter alignWithMargins="0">
    <oddFooter>&amp;L&amp;12LEL Schwäbisch Gmünd (Abtlg. II)
LAZBW Aulendorf&amp;C&amp;12 53&amp;9
&amp;R&amp;12&amp;F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B1:AI75"/>
  <sheetViews>
    <sheetView showGridLines="0" topLeftCell="C1" zoomScale="75" zoomScaleNormal="75" workbookViewId="0">
      <selection activeCell="G1" sqref="G1"/>
    </sheetView>
  </sheetViews>
  <sheetFormatPr baseColWidth="10" defaultRowHeight="12.9" x14ac:dyDescent="0.2"/>
  <cols>
    <col min="1" max="1" width="5.125" customWidth="1"/>
    <col min="2" max="2" width="23.625" customWidth="1"/>
    <col min="3" max="3" width="10.375" customWidth="1"/>
    <col min="4" max="5" width="11.375" customWidth="1"/>
    <col min="6" max="11" width="10.375" customWidth="1"/>
    <col min="12" max="13" width="11" customWidth="1"/>
    <col min="14" max="14" width="27.375" hidden="1" customWidth="1"/>
    <col min="15" max="37" width="0" hidden="1" customWidth="1"/>
  </cols>
  <sheetData>
    <row r="1" spans="2:24" ht="18.350000000000001" x14ac:dyDescent="0.2">
      <c r="B1" s="3169" t="s">
        <v>176</v>
      </c>
      <c r="C1" s="3169"/>
      <c r="D1" s="3169"/>
      <c r="E1" s="3169"/>
      <c r="F1" s="3169"/>
    </row>
    <row r="2" spans="2:24" ht="21.1" x14ac:dyDescent="0.35">
      <c r="B2" s="2411" t="s">
        <v>807</v>
      </c>
      <c r="K2" s="522"/>
    </row>
    <row r="3" spans="2:24" ht="42.8" customHeight="1" x14ac:dyDescent="0.2">
      <c r="B3" s="3211" t="s">
        <v>1411</v>
      </c>
      <c r="C3" s="3212"/>
      <c r="D3" s="3212"/>
      <c r="E3" s="3212"/>
      <c r="F3" s="3212"/>
      <c r="G3" s="3212"/>
      <c r="H3" s="3212"/>
      <c r="I3" s="3212"/>
      <c r="J3" s="3213"/>
    </row>
    <row r="4" spans="2:24" ht="21.75" customHeight="1" x14ac:dyDescent="0.2">
      <c r="B4" s="514" t="s">
        <v>105</v>
      </c>
    </row>
    <row r="5" spans="2:24" ht="13.6" x14ac:dyDescent="0.25">
      <c r="B5" s="2180" t="s">
        <v>106</v>
      </c>
      <c r="C5" s="2180" t="s">
        <v>107</v>
      </c>
      <c r="D5" s="2423" t="s">
        <v>109</v>
      </c>
      <c r="E5" s="2180" t="s">
        <v>109</v>
      </c>
      <c r="F5" s="2180"/>
      <c r="G5" s="2181"/>
      <c r="H5" s="2181"/>
      <c r="I5" s="2181"/>
      <c r="J5" s="2421"/>
      <c r="K5" s="504" t="s">
        <v>111</v>
      </c>
      <c r="O5" s="405" t="s">
        <v>806</v>
      </c>
    </row>
    <row r="6" spans="2:24" ht="26.7" customHeight="1" x14ac:dyDescent="0.25">
      <c r="B6" s="2182" t="s">
        <v>112</v>
      </c>
      <c r="C6" s="2183" t="s">
        <v>821</v>
      </c>
      <c r="D6" s="2182" t="s">
        <v>113</v>
      </c>
      <c r="E6" s="2182" t="s">
        <v>113</v>
      </c>
      <c r="F6" s="2182"/>
      <c r="G6" s="2418"/>
      <c r="H6" s="2418" t="s">
        <v>110</v>
      </c>
      <c r="I6" s="2418"/>
      <c r="J6" s="2186"/>
      <c r="L6" s="3196"/>
      <c r="M6" s="3196"/>
      <c r="O6" s="2702" t="s">
        <v>808</v>
      </c>
      <c r="P6" s="1937"/>
      <c r="X6" s="505"/>
    </row>
    <row r="7" spans="2:24" ht="13.6" x14ac:dyDescent="0.25">
      <c r="B7" s="2182" t="s">
        <v>114</v>
      </c>
      <c r="C7" s="2185" t="s">
        <v>407</v>
      </c>
      <c r="D7" s="2182" t="s">
        <v>115</v>
      </c>
      <c r="E7" s="2422" t="s">
        <v>823</v>
      </c>
      <c r="F7" s="2182"/>
      <c r="G7" s="2184"/>
      <c r="H7" s="2184"/>
      <c r="I7" s="2418"/>
      <c r="J7" s="2419"/>
      <c r="L7" s="3196"/>
      <c r="M7" s="3196"/>
      <c r="O7" s="2702" t="s">
        <v>809</v>
      </c>
      <c r="P7" s="1937"/>
      <c r="X7" s="504" t="s">
        <v>111</v>
      </c>
    </row>
    <row r="8" spans="2:24" ht="13.6" customHeight="1" x14ac:dyDescent="0.25">
      <c r="B8" s="2183"/>
      <c r="C8" s="2183" t="s">
        <v>822</v>
      </c>
      <c r="D8" s="2183" t="s">
        <v>1205</v>
      </c>
      <c r="E8" s="2185"/>
      <c r="F8" s="2182"/>
      <c r="G8" s="2418"/>
      <c r="H8" s="2418"/>
      <c r="I8" s="2418"/>
      <c r="J8" s="2186"/>
      <c r="L8" s="3196"/>
      <c r="M8" s="3196"/>
      <c r="O8" s="2702" t="s">
        <v>810</v>
      </c>
      <c r="P8" s="1937"/>
    </row>
    <row r="9" spans="2:24" ht="13.6" customHeight="1" x14ac:dyDescent="0.25">
      <c r="B9" s="2182"/>
      <c r="C9" s="2185"/>
      <c r="D9" s="2183" t="s">
        <v>1204</v>
      </c>
      <c r="E9" s="2185"/>
      <c r="F9" s="2424"/>
      <c r="G9" s="2418"/>
      <c r="H9" s="2418"/>
      <c r="I9" s="2418"/>
      <c r="J9" s="2186"/>
      <c r="L9" s="3196"/>
      <c r="M9" s="3196"/>
      <c r="O9" s="2702" t="s">
        <v>811</v>
      </c>
      <c r="P9" s="1937"/>
    </row>
    <row r="10" spans="2:24" ht="13.6" x14ac:dyDescent="0.25">
      <c r="B10" s="2182"/>
      <c r="C10" s="2422" t="s">
        <v>72</v>
      </c>
      <c r="D10" s="2422" t="s">
        <v>205</v>
      </c>
      <c r="E10" s="2422" t="s">
        <v>1206</v>
      </c>
      <c r="F10" s="3197" t="s">
        <v>406</v>
      </c>
      <c r="G10" s="3198"/>
      <c r="H10" s="3198"/>
      <c r="I10" s="3198"/>
      <c r="J10" s="3199"/>
      <c r="L10" s="3196"/>
      <c r="M10" s="3196"/>
      <c r="O10" s="2702" t="s">
        <v>812</v>
      </c>
      <c r="P10" s="2702"/>
    </row>
    <row r="11" spans="2:24" ht="17.7" customHeight="1" x14ac:dyDescent="0.35">
      <c r="B11" s="2187"/>
      <c r="C11" s="2429" t="s">
        <v>838</v>
      </c>
      <c r="D11" s="2429" t="s">
        <v>838</v>
      </c>
      <c r="E11" s="2429" t="s">
        <v>1210</v>
      </c>
      <c r="F11" s="2188" t="s">
        <v>206</v>
      </c>
      <c r="G11" s="2420" t="s">
        <v>207</v>
      </c>
      <c r="H11" s="2420" t="s">
        <v>208</v>
      </c>
      <c r="I11" s="2420" t="s">
        <v>209</v>
      </c>
      <c r="J11" s="2189" t="s">
        <v>210</v>
      </c>
      <c r="L11" s="3196"/>
      <c r="M11" s="3196"/>
      <c r="O11" s="1937"/>
      <c r="P11" s="1937"/>
      <c r="X11" s="505"/>
    </row>
    <row r="12" spans="2:24" ht="18.350000000000001" x14ac:dyDescent="0.2">
      <c r="B12" s="2413" t="s">
        <v>839</v>
      </c>
      <c r="C12" s="2414"/>
      <c r="D12" s="2414"/>
      <c r="E12" s="2414"/>
      <c r="F12" s="2415"/>
      <c r="G12" s="2415"/>
      <c r="H12" s="2414"/>
      <c r="I12" s="2414"/>
      <c r="J12" s="2416"/>
      <c r="L12" s="3196"/>
      <c r="M12" s="3196"/>
      <c r="O12" s="1937"/>
      <c r="P12" s="1937"/>
      <c r="X12" s="505"/>
    </row>
    <row r="13" spans="2:24" s="8" customFormat="1" ht="23.8" customHeight="1" x14ac:dyDescent="0.2">
      <c r="B13" s="512" t="s">
        <v>816</v>
      </c>
      <c r="C13" s="84"/>
      <c r="D13" s="2899"/>
      <c r="E13" s="84"/>
      <c r="F13" s="293"/>
      <c r="G13" s="293"/>
      <c r="H13" s="84"/>
      <c r="I13" s="84"/>
      <c r="J13" s="513"/>
      <c r="L13" s="3196"/>
      <c r="M13" s="3196"/>
      <c r="O13" s="2703"/>
      <c r="P13" s="2703"/>
    </row>
    <row r="14" spans="2:24" ht="16.5" customHeight="1" x14ac:dyDescent="0.2">
      <c r="B14" s="507">
        <v>1</v>
      </c>
      <c r="C14" s="3112">
        <v>30</v>
      </c>
      <c r="D14" s="3113">
        <v>30</v>
      </c>
      <c r="E14" s="2982" t="s">
        <v>1207</v>
      </c>
      <c r="F14" s="3115">
        <v>1.38</v>
      </c>
      <c r="G14" s="3115">
        <v>0.5</v>
      </c>
      <c r="H14" s="3115">
        <v>1.93</v>
      </c>
      <c r="I14" s="3115">
        <v>0.35</v>
      </c>
      <c r="J14" s="3114">
        <v>1</v>
      </c>
      <c r="K14" s="3120"/>
      <c r="L14" s="2215" t="s">
        <v>1407</v>
      </c>
      <c r="O14" s="2702" t="s">
        <v>813</v>
      </c>
      <c r="P14" s="1937"/>
    </row>
    <row r="15" spans="2:24" ht="16.5" customHeight="1" x14ac:dyDescent="0.2">
      <c r="B15" s="507">
        <v>2</v>
      </c>
      <c r="C15" s="510">
        <v>50</v>
      </c>
      <c r="D15" s="2218">
        <v>40</v>
      </c>
      <c r="E15" s="2982" t="s">
        <v>1207</v>
      </c>
      <c r="F15" s="3115">
        <v>1.8181818181818181</v>
      </c>
      <c r="G15" s="3115">
        <v>0.64</v>
      </c>
      <c r="H15" s="3115">
        <v>2.41</v>
      </c>
      <c r="I15" s="3115">
        <v>0.4</v>
      </c>
      <c r="J15" s="3114">
        <v>1.05</v>
      </c>
      <c r="O15" s="2702" t="s">
        <v>814</v>
      </c>
      <c r="P15" s="1937"/>
    </row>
    <row r="16" spans="2:24" ht="16.5" customHeight="1" x14ac:dyDescent="0.2">
      <c r="B16" s="507">
        <v>3</v>
      </c>
      <c r="C16" s="510">
        <v>65</v>
      </c>
      <c r="D16" s="2218">
        <v>45</v>
      </c>
      <c r="E16" s="2983" t="s">
        <v>1207</v>
      </c>
      <c r="F16" s="3115">
        <v>2.375</v>
      </c>
      <c r="G16" s="3115">
        <v>0.71</v>
      </c>
      <c r="H16" s="3115">
        <v>2.89</v>
      </c>
      <c r="I16" s="3115">
        <v>0.41</v>
      </c>
      <c r="J16" s="3114">
        <v>1.5</v>
      </c>
    </row>
    <row r="17" spans="2:35" ht="16.5" customHeight="1" x14ac:dyDescent="0.2">
      <c r="B17" s="507">
        <v>4</v>
      </c>
      <c r="C17" s="510">
        <v>80</v>
      </c>
      <c r="D17" s="2218">
        <v>50</v>
      </c>
      <c r="E17" s="2983" t="s">
        <v>1207</v>
      </c>
      <c r="F17" s="3115">
        <v>2.7222222222222223</v>
      </c>
      <c r="G17" s="3115">
        <v>0.8</v>
      </c>
      <c r="H17" s="3115">
        <v>3.13</v>
      </c>
      <c r="I17" s="3115">
        <v>0.45</v>
      </c>
      <c r="J17" s="3114">
        <v>1.57</v>
      </c>
    </row>
    <row r="18" spans="2:35" s="8" customFormat="1" ht="21.75" customHeight="1" x14ac:dyDescent="0.2">
      <c r="B18" s="508">
        <v>5</v>
      </c>
      <c r="C18" s="511">
        <v>90</v>
      </c>
      <c r="D18" s="2701">
        <v>60</v>
      </c>
      <c r="E18" s="2984" t="s">
        <v>1207</v>
      </c>
      <c r="F18" s="3115">
        <v>2.8181818181818183</v>
      </c>
      <c r="G18" s="3115">
        <v>0.85</v>
      </c>
      <c r="H18" s="3115">
        <v>3.25</v>
      </c>
      <c r="I18" s="3115">
        <v>0.45</v>
      </c>
      <c r="J18" s="3116">
        <v>1.75</v>
      </c>
    </row>
    <row r="19" spans="2:35" ht="16.5" customHeight="1" x14ac:dyDescent="0.2">
      <c r="B19" s="2413" t="s">
        <v>815</v>
      </c>
      <c r="C19" s="2414"/>
      <c r="D19" s="2414"/>
      <c r="E19" s="2414"/>
      <c r="F19" s="2415"/>
      <c r="G19" s="2415"/>
      <c r="H19" s="2414"/>
      <c r="I19" s="2414"/>
      <c r="J19" s="2416"/>
    </row>
    <row r="20" spans="2:35" ht="16.5" customHeight="1" x14ac:dyDescent="0.2">
      <c r="B20" s="3138" t="s">
        <v>960</v>
      </c>
      <c r="C20" s="3139"/>
      <c r="D20" s="3139"/>
      <c r="E20" s="3139"/>
      <c r="F20" s="3140"/>
      <c r="G20" s="3140"/>
      <c r="H20" s="3139"/>
      <c r="I20" s="3139"/>
      <c r="J20" s="3141"/>
      <c r="AD20" s="8"/>
    </row>
    <row r="21" spans="2:35" ht="16.5" customHeight="1" x14ac:dyDescent="0.2">
      <c r="B21" s="629" t="s">
        <v>818</v>
      </c>
      <c r="C21" s="3123">
        <v>120</v>
      </c>
      <c r="D21" s="2218"/>
      <c r="E21" s="3158">
        <f>210/120</f>
        <v>1.75</v>
      </c>
      <c r="F21" s="3119">
        <v>2.92</v>
      </c>
      <c r="G21" s="3119">
        <v>0.73</v>
      </c>
      <c r="H21" s="3119">
        <v>3.25</v>
      </c>
      <c r="I21" s="3119">
        <v>0.41</v>
      </c>
      <c r="J21" s="2219">
        <v>1.9</v>
      </c>
      <c r="O21" s="2217" t="s">
        <v>1419</v>
      </c>
      <c r="Z21" s="8"/>
      <c r="AA21" s="8"/>
      <c r="AB21" s="8"/>
      <c r="AC21" s="8"/>
    </row>
    <row r="22" spans="2:35" ht="16.5" customHeight="1" x14ac:dyDescent="0.2">
      <c r="B22" s="2417" t="s">
        <v>817</v>
      </c>
      <c r="C22" s="3121">
        <v>120</v>
      </c>
      <c r="D22" s="2222"/>
      <c r="E22" s="3159">
        <f>90/120</f>
        <v>0.75</v>
      </c>
      <c r="F22" s="2223">
        <v>2.5</v>
      </c>
      <c r="G22" s="2223">
        <v>0.7</v>
      </c>
      <c r="H22" s="2223">
        <v>3.1</v>
      </c>
      <c r="I22" s="2223">
        <v>0.4</v>
      </c>
      <c r="J22" s="2224">
        <v>1.9</v>
      </c>
      <c r="L22" s="405" t="s">
        <v>1405</v>
      </c>
    </row>
    <row r="23" spans="2:35" ht="16.5" customHeight="1" x14ac:dyDescent="0.2">
      <c r="B23" s="2417" t="s">
        <v>1202</v>
      </c>
      <c r="C23" s="3121">
        <v>110</v>
      </c>
      <c r="D23" s="2222"/>
      <c r="E23" s="3159">
        <f>360/110</f>
        <v>3.2727272727272729</v>
      </c>
      <c r="F23" s="3117">
        <v>3.27</v>
      </c>
      <c r="G23" s="3117">
        <v>0.73</v>
      </c>
      <c r="H23" s="3117">
        <v>3.25</v>
      </c>
      <c r="I23" s="3117">
        <v>0.41</v>
      </c>
      <c r="J23" s="2224"/>
      <c r="X23" s="405" t="s">
        <v>683</v>
      </c>
      <c r="Y23" s="405"/>
      <c r="AC23" s="405" t="s">
        <v>712</v>
      </c>
    </row>
    <row r="24" spans="2:35" ht="21.25" customHeight="1" x14ac:dyDescent="0.2">
      <c r="B24" s="2111" t="s">
        <v>1406</v>
      </c>
      <c r="C24" s="3121">
        <v>120</v>
      </c>
      <c r="D24" s="2222"/>
      <c r="E24" s="3142"/>
      <c r="F24" s="3117">
        <v>2.58</v>
      </c>
      <c r="G24" s="3117">
        <v>0.8</v>
      </c>
      <c r="H24" s="3117">
        <v>3.25</v>
      </c>
      <c r="I24" s="3117">
        <v>0.41</v>
      </c>
      <c r="J24" s="506"/>
      <c r="X24" s="405"/>
      <c r="Y24" s="405"/>
      <c r="AC24" s="405"/>
    </row>
    <row r="25" spans="2:35" ht="24.45" customHeight="1" x14ac:dyDescent="0.2">
      <c r="B25" s="2412" t="s">
        <v>840</v>
      </c>
      <c r="C25" s="3122">
        <v>150</v>
      </c>
      <c r="D25" s="2701"/>
      <c r="E25" s="2976"/>
      <c r="F25" s="3118">
        <v>2.67</v>
      </c>
      <c r="G25" s="3118">
        <v>0.82</v>
      </c>
      <c r="H25" s="3118">
        <v>3.61</v>
      </c>
      <c r="I25" s="3118">
        <v>0.41</v>
      </c>
      <c r="J25" s="2220"/>
      <c r="O25" s="405" t="s">
        <v>1239</v>
      </c>
      <c r="X25" s="405"/>
      <c r="Y25" s="405"/>
      <c r="AC25" s="405"/>
    </row>
    <row r="26" spans="2:35" ht="16.5" customHeight="1" x14ac:dyDescent="0.2">
      <c r="B26" s="512" t="s">
        <v>837</v>
      </c>
      <c r="C26" s="84"/>
      <c r="D26" s="2197"/>
      <c r="E26" s="84"/>
      <c r="F26" s="293"/>
      <c r="G26" s="293"/>
      <c r="H26" s="84"/>
      <c r="I26" s="84"/>
      <c r="J26" s="513"/>
      <c r="O26" s="405" t="s">
        <v>1364</v>
      </c>
      <c r="X26" s="405"/>
      <c r="Y26" s="405"/>
      <c r="AC26" s="405"/>
    </row>
    <row r="27" spans="2:35" ht="16.5" customHeight="1" x14ac:dyDescent="0.2">
      <c r="B27" s="2227" t="s">
        <v>820</v>
      </c>
      <c r="C27" s="2221">
        <v>70</v>
      </c>
      <c r="D27" s="2195"/>
      <c r="E27" s="2975">
        <v>1.7</v>
      </c>
      <c r="F27" s="2223">
        <v>1.86</v>
      </c>
      <c r="G27" s="2223">
        <v>0.56999999999999995</v>
      </c>
      <c r="H27" s="2223">
        <v>2.14</v>
      </c>
      <c r="I27" s="2223">
        <v>0.2</v>
      </c>
      <c r="J27" s="2224"/>
      <c r="O27" s="405" t="s">
        <v>1364</v>
      </c>
      <c r="X27" s="405"/>
      <c r="Y27" s="405"/>
      <c r="AC27" s="405"/>
    </row>
    <row r="28" spans="2:35" ht="16.5" customHeight="1" x14ac:dyDescent="0.2">
      <c r="B28" s="2227" t="s">
        <v>236</v>
      </c>
      <c r="C28" s="3121">
        <v>149</v>
      </c>
      <c r="D28" s="2195"/>
      <c r="E28" s="2977"/>
      <c r="F28" s="3117">
        <v>1.36</v>
      </c>
      <c r="G28" s="3117">
        <v>0.57999999999999996</v>
      </c>
      <c r="H28" s="3117">
        <v>1.61</v>
      </c>
      <c r="I28" s="3117">
        <v>0.3</v>
      </c>
      <c r="J28" s="2224">
        <v>0.5</v>
      </c>
      <c r="O28" s="405" t="s">
        <v>1364</v>
      </c>
      <c r="X28" s="405"/>
      <c r="Y28" s="405"/>
      <c r="AC28" s="405"/>
    </row>
    <row r="29" spans="2:35" ht="16.5" customHeight="1" x14ac:dyDescent="0.2">
      <c r="B29" s="2227" t="s">
        <v>236</v>
      </c>
      <c r="C29" s="3127">
        <v>450</v>
      </c>
      <c r="D29" s="2195"/>
      <c r="E29" s="2977"/>
      <c r="F29" s="3128">
        <v>0.45</v>
      </c>
      <c r="G29" s="3128">
        <v>0.19</v>
      </c>
      <c r="H29" s="3128">
        <v>0.53</v>
      </c>
      <c r="I29" s="3128">
        <v>0.1</v>
      </c>
      <c r="J29" s="2224">
        <v>0.5</v>
      </c>
      <c r="K29" s="3125" t="s">
        <v>1408</v>
      </c>
      <c r="O29" s="405" t="s">
        <v>1365</v>
      </c>
      <c r="X29" s="405"/>
      <c r="Y29" s="405"/>
      <c r="AC29" s="405"/>
    </row>
    <row r="30" spans="2:35" s="8" customFormat="1" ht="23.8" customHeight="1" x14ac:dyDescent="0.2">
      <c r="B30" s="629" t="s">
        <v>627</v>
      </c>
      <c r="C30" s="3136" t="s">
        <v>1410</v>
      </c>
      <c r="D30" s="2195"/>
      <c r="E30" s="2978"/>
      <c r="F30" s="3124">
        <v>0.24</v>
      </c>
      <c r="G30" s="3124">
        <v>7.0000000000000007E-2</v>
      </c>
      <c r="H30" s="3124">
        <v>0.45</v>
      </c>
      <c r="I30" s="3124">
        <v>0.05</v>
      </c>
      <c r="J30" s="3137">
        <v>0.04</v>
      </c>
      <c r="K30"/>
      <c r="O30"/>
      <c r="X30" s="405" t="s">
        <v>710</v>
      </c>
      <c r="Y30" s="405"/>
      <c r="Z30" s="2255" t="s">
        <v>682</v>
      </c>
      <c r="AA30" s="163"/>
      <c r="AB30" s="163"/>
      <c r="AC30" s="405" t="s">
        <v>709</v>
      </c>
      <c r="AD30" s="405"/>
      <c r="AE30" s="2257" t="s">
        <v>711</v>
      </c>
      <c r="AF30"/>
      <c r="AH30"/>
      <c r="AI30"/>
    </row>
    <row r="31" spans="2:35" ht="14.3" customHeight="1" x14ac:dyDescent="0.2">
      <c r="B31" s="512" t="s">
        <v>845</v>
      </c>
      <c r="C31" s="3145"/>
      <c r="D31" s="2197"/>
      <c r="E31" s="2980"/>
      <c r="F31" s="293"/>
      <c r="G31" s="293"/>
      <c r="H31" s="84"/>
      <c r="I31" s="84"/>
      <c r="J31" s="513"/>
      <c r="O31" s="405" t="s">
        <v>1366</v>
      </c>
      <c r="U31" t="s">
        <v>836</v>
      </c>
      <c r="X31" s="2256">
        <v>2.7</v>
      </c>
      <c r="Z31" s="2255" t="s">
        <v>684</v>
      </c>
      <c r="AA31" s="163"/>
      <c r="AB31" s="163"/>
      <c r="AC31" s="405" t="s">
        <v>685</v>
      </c>
      <c r="AE31" s="2258">
        <v>188</v>
      </c>
      <c r="AG31" s="405"/>
    </row>
    <row r="32" spans="2:35" ht="14.95" customHeight="1" x14ac:dyDescent="0.2">
      <c r="B32" s="3130" t="s">
        <v>819</v>
      </c>
      <c r="C32" s="3146">
        <v>50</v>
      </c>
      <c r="D32" s="3143"/>
      <c r="E32" s="2981"/>
      <c r="F32" s="3131">
        <v>1.5</v>
      </c>
      <c r="G32" s="3131">
        <v>0.76</v>
      </c>
      <c r="H32" s="3131">
        <v>1.63</v>
      </c>
      <c r="I32" s="3131"/>
      <c r="J32" s="3132"/>
      <c r="X32" s="2256">
        <v>2.5</v>
      </c>
      <c r="Z32" s="2255" t="s">
        <v>708</v>
      </c>
      <c r="AA32" s="163"/>
      <c r="AB32" s="163"/>
      <c r="AC32" s="405" t="s">
        <v>707</v>
      </c>
      <c r="AE32" s="2258">
        <v>155</v>
      </c>
      <c r="AG32" s="405" t="s">
        <v>686</v>
      </c>
    </row>
    <row r="33" spans="2:31" ht="14.95" customHeight="1" x14ac:dyDescent="0.2">
      <c r="B33" s="3126" t="s">
        <v>819</v>
      </c>
      <c r="C33" s="3147">
        <v>250</v>
      </c>
      <c r="D33" s="3133"/>
      <c r="E33" s="2977"/>
      <c r="F33" s="3124">
        <v>0.39</v>
      </c>
      <c r="G33" s="3124">
        <v>0.21</v>
      </c>
      <c r="H33" s="3124">
        <v>0.48</v>
      </c>
      <c r="I33" s="3124">
        <v>0.05</v>
      </c>
      <c r="J33" s="3129"/>
      <c r="K33" s="3125" t="s">
        <v>1409</v>
      </c>
      <c r="O33" s="405" t="s">
        <v>1367</v>
      </c>
      <c r="Z33" s="197"/>
      <c r="AE33" s="197"/>
    </row>
    <row r="34" spans="2:31" x14ac:dyDescent="0.2">
      <c r="B34" s="3134" t="s">
        <v>844</v>
      </c>
      <c r="C34" s="3148">
        <v>45</v>
      </c>
      <c r="D34" s="3144"/>
      <c r="E34" s="3135">
        <v>1.8</v>
      </c>
      <c r="F34" s="2225">
        <v>2.4</v>
      </c>
      <c r="G34" s="2225">
        <v>0.8</v>
      </c>
      <c r="H34" s="2225">
        <v>3.6</v>
      </c>
      <c r="I34" s="2225"/>
      <c r="J34" s="2226"/>
      <c r="O34" s="405" t="s">
        <v>1368</v>
      </c>
      <c r="X34" s="2260">
        <v>3</v>
      </c>
      <c r="Y34" s="36"/>
      <c r="Z34" s="164">
        <v>302</v>
      </c>
      <c r="AA34" s="36"/>
      <c r="AB34" s="36"/>
      <c r="AC34" s="500" t="s">
        <v>713</v>
      </c>
      <c r="AD34" s="36"/>
      <c r="AE34" s="2259">
        <v>227</v>
      </c>
    </row>
    <row r="35" spans="2:31" ht="24.45" customHeight="1" x14ac:dyDescent="0.2">
      <c r="B35" s="555" t="s">
        <v>851</v>
      </c>
      <c r="C35" s="3136">
        <v>90</v>
      </c>
      <c r="D35" s="2195"/>
      <c r="E35" s="2978"/>
      <c r="F35" s="3119">
        <v>1.4444444444444444</v>
      </c>
      <c r="G35" s="3119">
        <v>0</v>
      </c>
      <c r="H35" s="3119">
        <v>0</v>
      </c>
      <c r="I35" s="3119">
        <v>0</v>
      </c>
      <c r="J35" s="3149"/>
      <c r="X35" s="2256"/>
      <c r="Y35" s="163"/>
      <c r="Z35" s="163"/>
      <c r="AA35" s="163"/>
      <c r="AB35" s="163"/>
      <c r="AC35" s="2111"/>
      <c r="AD35" s="163"/>
      <c r="AE35" s="502"/>
    </row>
    <row r="36" spans="2:31" ht="16.5" customHeight="1" x14ac:dyDescent="0.2">
      <c r="B36" s="197" t="s">
        <v>1412</v>
      </c>
      <c r="C36" s="3136">
        <v>94</v>
      </c>
      <c r="D36" s="2195"/>
      <c r="E36" s="2978"/>
      <c r="F36" s="3119">
        <v>2.021276595744681</v>
      </c>
      <c r="G36" s="3119">
        <v>0.30400000000000005</v>
      </c>
      <c r="H36" s="3119">
        <v>1.204</v>
      </c>
      <c r="I36" s="3119">
        <v>0.16400000000000001</v>
      </c>
      <c r="J36" s="3149"/>
      <c r="O36" s="405" t="s">
        <v>1369</v>
      </c>
      <c r="X36" s="2112" t="s">
        <v>628</v>
      </c>
      <c r="Y36" s="2112" t="s">
        <v>629</v>
      </c>
      <c r="Z36" s="8"/>
    </row>
    <row r="37" spans="2:31" ht="16.5" customHeight="1" x14ac:dyDescent="0.2">
      <c r="B37" s="197" t="s">
        <v>1413</v>
      </c>
      <c r="C37" s="3136">
        <v>98</v>
      </c>
      <c r="D37" s="2195"/>
      <c r="E37" s="2978"/>
      <c r="F37" s="3119">
        <v>2.5</v>
      </c>
      <c r="G37" s="3119">
        <v>0.6080000000000001</v>
      </c>
      <c r="H37" s="3119">
        <v>2.4079999999999999</v>
      </c>
      <c r="I37" s="3119">
        <v>0.32800000000000001</v>
      </c>
      <c r="J37" s="3149"/>
      <c r="O37" s="405" t="s">
        <v>1363</v>
      </c>
      <c r="X37">
        <v>17</v>
      </c>
      <c r="Y37" s="2198">
        <v>18</v>
      </c>
    </row>
    <row r="38" spans="2:31" ht="16.5" customHeight="1" x14ac:dyDescent="0.2">
      <c r="B38" s="164" t="s">
        <v>1414</v>
      </c>
      <c r="C38" s="3150">
        <v>65</v>
      </c>
      <c r="D38" s="2196"/>
      <c r="E38" s="2979"/>
      <c r="F38" s="3118">
        <v>1</v>
      </c>
      <c r="G38" s="3118">
        <v>0</v>
      </c>
      <c r="H38" s="3118">
        <v>0</v>
      </c>
      <c r="I38" s="3118">
        <v>0</v>
      </c>
      <c r="J38" s="3151"/>
      <c r="O38" s="405" t="s">
        <v>843</v>
      </c>
      <c r="Y38" s="2198"/>
    </row>
    <row r="39" spans="2:31" ht="16.5" customHeight="1" x14ac:dyDescent="0.2">
      <c r="Y39" s="2198"/>
    </row>
    <row r="40" spans="2:31" ht="21.75" customHeight="1" x14ac:dyDescent="0.2">
      <c r="B40" s="514" t="s">
        <v>827</v>
      </c>
      <c r="F40" s="514" t="s">
        <v>829</v>
      </c>
    </row>
    <row r="41" spans="2:31" ht="23.8" customHeight="1" x14ac:dyDescent="0.2">
      <c r="B41" s="514" t="s">
        <v>828</v>
      </c>
      <c r="F41" s="514" t="s">
        <v>830</v>
      </c>
    </row>
    <row r="42" spans="2:31" ht="17.7" customHeight="1" x14ac:dyDescent="0.2">
      <c r="B42" s="3208" t="s">
        <v>824</v>
      </c>
      <c r="C42" s="3214" t="s">
        <v>852</v>
      </c>
      <c r="D42" s="3216" t="s">
        <v>853</v>
      </c>
      <c r="F42" s="3200" t="s">
        <v>826</v>
      </c>
      <c r="G42" s="3201"/>
      <c r="H42" s="3200" t="s">
        <v>375</v>
      </c>
      <c r="I42" s="3206"/>
      <c r="J42" s="3201"/>
    </row>
    <row r="43" spans="2:31" ht="17.7" customHeight="1" x14ac:dyDescent="0.2">
      <c r="B43" s="3209"/>
      <c r="C43" s="3215"/>
      <c r="D43" s="3217"/>
      <c r="F43" s="3202"/>
      <c r="G43" s="3203"/>
      <c r="H43" s="3202"/>
      <c r="I43" s="3207"/>
      <c r="J43" s="3203"/>
      <c r="N43" s="405"/>
      <c r="O43" s="405"/>
    </row>
    <row r="44" spans="2:31" ht="18.7" customHeight="1" x14ac:dyDescent="0.2">
      <c r="B44" s="3210"/>
      <c r="C44" s="2437" t="s">
        <v>855</v>
      </c>
      <c r="D44" s="2437" t="s">
        <v>855</v>
      </c>
      <c r="F44" s="3204"/>
      <c r="G44" s="3205"/>
      <c r="H44" s="2439" t="s">
        <v>68</v>
      </c>
      <c r="I44" s="2440" t="s">
        <v>469</v>
      </c>
      <c r="J44" s="2441" t="s">
        <v>70</v>
      </c>
      <c r="N44" s="405" t="s">
        <v>846</v>
      </c>
      <c r="O44" s="405" t="s">
        <v>841</v>
      </c>
    </row>
    <row r="45" spans="2:31" x14ac:dyDescent="0.2">
      <c r="B45" s="629" t="s">
        <v>1253</v>
      </c>
      <c r="C45" s="2990">
        <v>30</v>
      </c>
      <c r="D45" s="2907">
        <v>0</v>
      </c>
      <c r="F45" s="515" t="s">
        <v>499</v>
      </c>
      <c r="G45" s="163"/>
      <c r="H45" s="3099" t="s">
        <v>263</v>
      </c>
      <c r="I45" s="1826" t="s">
        <v>470</v>
      </c>
      <c r="J45" s="612" t="s">
        <v>471</v>
      </c>
      <c r="N45" s="405" t="s">
        <v>1300</v>
      </c>
      <c r="O45" s="405" t="s">
        <v>1362</v>
      </c>
    </row>
    <row r="46" spans="2:31" x14ac:dyDescent="0.2">
      <c r="B46" s="629" t="s">
        <v>1254</v>
      </c>
      <c r="C46" s="2991">
        <v>20</v>
      </c>
      <c r="D46" s="2909">
        <v>0</v>
      </c>
      <c r="F46" s="197" t="s">
        <v>235</v>
      </c>
      <c r="G46" s="506"/>
      <c r="H46" s="1827" t="s">
        <v>274</v>
      </c>
      <c r="I46" s="1826" t="s">
        <v>472</v>
      </c>
      <c r="J46" s="612" t="s">
        <v>473</v>
      </c>
      <c r="N46" s="405" t="s">
        <v>1300</v>
      </c>
      <c r="O46" s="405" t="s">
        <v>1362</v>
      </c>
    </row>
    <row r="47" spans="2:31" x14ac:dyDescent="0.2">
      <c r="B47" s="405" t="s">
        <v>254</v>
      </c>
      <c r="C47" s="2991">
        <v>5</v>
      </c>
      <c r="D47" s="2909"/>
      <c r="F47" s="197" t="s">
        <v>252</v>
      </c>
      <c r="G47" s="506"/>
      <c r="H47" s="1827" t="s">
        <v>275</v>
      </c>
      <c r="I47" s="1826" t="s">
        <v>474</v>
      </c>
      <c r="J47" s="612" t="s">
        <v>475</v>
      </c>
      <c r="N47" s="405" t="s">
        <v>1300</v>
      </c>
      <c r="O47" s="405" t="s">
        <v>1362</v>
      </c>
    </row>
    <row r="48" spans="2:31" x14ac:dyDescent="0.2">
      <c r="B48" s="515" t="s">
        <v>499</v>
      </c>
      <c r="C48" s="2991">
        <v>5</v>
      </c>
      <c r="D48" s="2909">
        <v>0</v>
      </c>
      <c r="F48" s="515" t="s">
        <v>825</v>
      </c>
      <c r="G48" s="163"/>
      <c r="H48" s="1827"/>
      <c r="I48" s="2427" t="s">
        <v>850</v>
      </c>
      <c r="J48" s="612"/>
      <c r="O48" s="405"/>
    </row>
    <row r="49" spans="2:15" ht="14.95" customHeight="1" x14ac:dyDescent="0.2">
      <c r="B49" s="629" t="s">
        <v>842</v>
      </c>
      <c r="C49" s="2991">
        <v>5</v>
      </c>
      <c r="D49" s="2909">
        <v>7</v>
      </c>
      <c r="F49" s="515" t="s">
        <v>236</v>
      </c>
      <c r="G49" s="163"/>
      <c r="H49" s="1827" t="s">
        <v>274</v>
      </c>
      <c r="I49" s="1826" t="s">
        <v>476</v>
      </c>
      <c r="J49" s="612" t="s">
        <v>477</v>
      </c>
      <c r="O49" s="405" t="s">
        <v>1362</v>
      </c>
    </row>
    <row r="50" spans="2:15" x14ac:dyDescent="0.2">
      <c r="B50" s="515" t="s">
        <v>466</v>
      </c>
      <c r="C50" s="2908">
        <v>5</v>
      </c>
      <c r="D50" s="2909">
        <v>5</v>
      </c>
      <c r="F50" s="2255" t="s">
        <v>832</v>
      </c>
      <c r="G50" s="506"/>
      <c r="H50" s="1826" t="s">
        <v>274</v>
      </c>
      <c r="I50" s="1826" t="s">
        <v>478</v>
      </c>
      <c r="J50" s="612" t="s">
        <v>473</v>
      </c>
      <c r="O50" s="405" t="s">
        <v>1362</v>
      </c>
    </row>
    <row r="51" spans="2:15" x14ac:dyDescent="0.2">
      <c r="B51" s="515" t="s">
        <v>467</v>
      </c>
      <c r="C51" s="2908">
        <v>7</v>
      </c>
      <c r="D51" s="2909">
        <v>5</v>
      </c>
      <c r="F51" s="2255" t="s">
        <v>833</v>
      </c>
      <c r="G51" s="506"/>
      <c r="H51" s="1826"/>
      <c r="I51" s="2427" t="s">
        <v>834</v>
      </c>
      <c r="J51" s="612"/>
      <c r="O51" s="405" t="s">
        <v>1362</v>
      </c>
    </row>
    <row r="52" spans="2:15" x14ac:dyDescent="0.2">
      <c r="B52" s="515" t="s">
        <v>468</v>
      </c>
      <c r="C52" s="2908">
        <v>10</v>
      </c>
      <c r="D52" s="2909">
        <v>5</v>
      </c>
      <c r="F52" s="415" t="s">
        <v>835</v>
      </c>
      <c r="G52" s="88"/>
      <c r="H52" s="2425"/>
      <c r="I52" s="2428" t="s">
        <v>263</v>
      </c>
      <c r="J52" s="2426"/>
      <c r="N52" t="s">
        <v>1301</v>
      </c>
    </row>
    <row r="53" spans="2:15" ht="16.5" customHeight="1" x14ac:dyDescent="0.2">
      <c r="B53" s="2412" t="s">
        <v>825</v>
      </c>
      <c r="C53" s="2910">
        <v>5</v>
      </c>
      <c r="D53" s="2911">
        <v>0</v>
      </c>
      <c r="F53" t="s">
        <v>854</v>
      </c>
      <c r="G53" s="8"/>
      <c r="H53" s="8"/>
      <c r="I53" s="8"/>
      <c r="J53" s="8"/>
      <c r="K53" s="8"/>
    </row>
    <row r="54" spans="2:15" ht="16.5" customHeight="1" x14ac:dyDescent="0.2">
      <c r="B54" s="2482"/>
    </row>
    <row r="55" spans="2:15" ht="22.6" customHeight="1" x14ac:dyDescent="0.2">
      <c r="B55" s="514" t="s">
        <v>831</v>
      </c>
    </row>
    <row r="56" spans="2:15" ht="17.7" customHeight="1" x14ac:dyDescent="0.25">
      <c r="B56" s="2442" t="s">
        <v>495</v>
      </c>
      <c r="C56" s="2443" t="s">
        <v>496</v>
      </c>
      <c r="D56" s="2444"/>
      <c r="E56" s="2444"/>
      <c r="F56" s="2444"/>
      <c r="G56" s="2445"/>
    </row>
    <row r="57" spans="2:15" ht="18.7" customHeight="1" x14ac:dyDescent="0.2">
      <c r="B57" s="2446" t="s">
        <v>114</v>
      </c>
      <c r="C57" s="2447">
        <v>1</v>
      </c>
      <c r="D57" s="2448">
        <v>2</v>
      </c>
      <c r="E57" s="2448">
        <v>3</v>
      </c>
      <c r="F57" s="2448">
        <v>4</v>
      </c>
      <c r="G57" s="2449">
        <v>5</v>
      </c>
    </row>
    <row r="58" spans="2:15" s="8" customFormat="1" x14ac:dyDescent="0.2">
      <c r="B58" s="507">
        <v>2</v>
      </c>
      <c r="C58" s="524">
        <v>60</v>
      </c>
      <c r="D58" s="525">
        <v>40</v>
      </c>
      <c r="E58" s="525"/>
      <c r="F58" s="525"/>
      <c r="G58" s="526"/>
      <c r="H58"/>
      <c r="I58"/>
      <c r="J58"/>
    </row>
    <row r="59" spans="2:15" s="8" customFormat="1" x14ac:dyDescent="0.2">
      <c r="B59" s="507">
        <v>3</v>
      </c>
      <c r="C59" s="524">
        <v>45</v>
      </c>
      <c r="D59" s="525">
        <v>35</v>
      </c>
      <c r="E59" s="525">
        <v>20</v>
      </c>
      <c r="F59" s="525"/>
      <c r="G59" s="526"/>
      <c r="H59"/>
      <c r="I59"/>
      <c r="J59"/>
    </row>
    <row r="60" spans="2:15" s="8" customFormat="1" x14ac:dyDescent="0.2">
      <c r="B60" s="507">
        <v>4</v>
      </c>
      <c r="C60" s="524">
        <v>35</v>
      </c>
      <c r="D60" s="525">
        <v>25</v>
      </c>
      <c r="E60" s="525">
        <v>20</v>
      </c>
      <c r="F60" s="525">
        <v>20</v>
      </c>
      <c r="G60" s="526"/>
      <c r="H60"/>
      <c r="I60"/>
      <c r="J60"/>
    </row>
    <row r="61" spans="2:15" s="8" customFormat="1" x14ac:dyDescent="0.2">
      <c r="B61" s="508">
        <v>5</v>
      </c>
      <c r="C61" s="527">
        <v>30</v>
      </c>
      <c r="D61" s="528">
        <v>20</v>
      </c>
      <c r="E61" s="528">
        <v>20</v>
      </c>
      <c r="F61" s="528">
        <v>15</v>
      </c>
      <c r="G61" s="529">
        <v>15</v>
      </c>
      <c r="H61"/>
      <c r="I61"/>
      <c r="J61"/>
    </row>
    <row r="62" spans="2:15" ht="15.8" customHeight="1" x14ac:dyDescent="0.2"/>
    <row r="63" spans="2:15" ht="15.8" customHeight="1" x14ac:dyDescent="0.2"/>
    <row r="64" spans="2:15" ht="15.8" customHeight="1" x14ac:dyDescent="0.2"/>
    <row r="65" spans="8:13" ht="15.8" customHeight="1" x14ac:dyDescent="0.2"/>
    <row r="66" spans="8:13" ht="15.8" customHeight="1" x14ac:dyDescent="0.2"/>
    <row r="67" spans="8:13" ht="15.8" customHeight="1" x14ac:dyDescent="0.2"/>
    <row r="68" spans="8:13" ht="15.8" customHeight="1" x14ac:dyDescent="0.2"/>
    <row r="69" spans="8:13" s="8" customFormat="1" ht="21.75" customHeight="1" x14ac:dyDescent="0.2">
      <c r="H69"/>
      <c r="I69"/>
      <c r="J69"/>
      <c r="K69"/>
      <c r="L69"/>
      <c r="M69"/>
    </row>
    <row r="70" spans="8:13" ht="15.8" customHeight="1" x14ac:dyDescent="0.2"/>
    <row r="71" spans="8:13" ht="15.8" customHeight="1" x14ac:dyDescent="0.2"/>
    <row r="72" spans="8:13" ht="15.8" customHeight="1" x14ac:dyDescent="0.2"/>
    <row r="73" spans="8:13" ht="15.8" customHeight="1" x14ac:dyDescent="0.2"/>
    <row r="74" spans="8:13" ht="15.8" customHeight="1" x14ac:dyDescent="0.2"/>
    <row r="75" spans="8:13" ht="15.8" customHeight="1" x14ac:dyDescent="0.2"/>
  </sheetData>
  <sheetProtection sheet="1" objects="1" scenarios="1"/>
  <customSheetViews>
    <customSheetView guid="{32760361-675F-4FBF-A5CA-B0597C10371F}" scale="87" showGridLines="0" fitToPage="1">
      <selection activeCell="N11" sqref="N11"/>
      <pageMargins left="0.61" right="0.38" top="0.64" bottom="0.78740157480314965" header="0.51181102362204722" footer="0.31496062992125984"/>
      <printOptions horizontalCentered="1"/>
      <pageSetup paperSize="9" scale="74" orientation="portrait" r:id="rId1"/>
      <headerFooter alignWithMargins="0">
        <oddFooter xml:space="preserve">&amp;L&amp;14LEL Schwäbisch Gmünd (Abtlg. II)
LAZBW Aulendorf&amp;C&amp;14 12&amp;R&amp;12&amp;F
 &amp;A </oddFooter>
      </headerFooter>
    </customSheetView>
  </customSheetViews>
  <mergeCells count="9">
    <mergeCell ref="L6:M13"/>
    <mergeCell ref="B1:F1"/>
    <mergeCell ref="F10:J10"/>
    <mergeCell ref="F42:G44"/>
    <mergeCell ref="H42:J43"/>
    <mergeCell ref="B42:B44"/>
    <mergeCell ref="B3:J3"/>
    <mergeCell ref="C42:C43"/>
    <mergeCell ref="D42:D43"/>
  </mergeCells>
  <phoneticPr fontId="0" type="noConversion"/>
  <hyperlinks>
    <hyperlink ref="B1:F1" location="Inhalt!A1:A10" display="zurück zum Inhaltsverzeichnis"/>
  </hyperlinks>
  <printOptions horizontalCentered="1"/>
  <pageMargins left="0.61" right="0.38" top="0.64" bottom="0.78740157480314965" header="0.51181102362204722" footer="0.31496062992125984"/>
  <pageSetup paperSize="9" scale="74" orientation="portrait" r:id="rId2"/>
  <headerFooter alignWithMargins="0">
    <oddFooter xml:space="preserve">&amp;L&amp;14LEL Schwäbisch Gmünd (Abtlg. II)
LAZBW Aulendorf&amp;C&amp;14 12&amp;R&amp;12&amp;F
 &amp;A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U66"/>
  <sheetViews>
    <sheetView showGridLines="0" zoomScaleNormal="100" workbookViewId="0">
      <selection activeCell="G1" sqref="G1"/>
    </sheetView>
  </sheetViews>
  <sheetFormatPr baseColWidth="10" defaultRowHeight="12.9" x14ac:dyDescent="0.2"/>
  <cols>
    <col min="1" max="1" width="5.125" customWidth="1"/>
    <col min="2" max="7" width="8.125" customWidth="1"/>
    <col min="8" max="8" width="7.375" customWidth="1"/>
    <col min="9" max="11" width="10" customWidth="1"/>
    <col min="12" max="12" width="10.375" customWidth="1"/>
    <col min="14" max="14" width="11.625" customWidth="1"/>
  </cols>
  <sheetData>
    <row r="1" spans="2:14" ht="18.350000000000001" x14ac:dyDescent="0.2">
      <c r="B1" s="3169" t="s">
        <v>176</v>
      </c>
      <c r="C1" s="3169"/>
      <c r="D1" s="3169"/>
      <c r="E1" s="3169"/>
      <c r="F1" s="3169"/>
    </row>
    <row r="2" spans="2:14" ht="21.1" x14ac:dyDescent="0.35">
      <c r="B2" s="2411" t="s">
        <v>847</v>
      </c>
      <c r="G2" s="1937"/>
    </row>
    <row r="3" spans="2:14" ht="19.55" customHeight="1" x14ac:dyDescent="0.2">
      <c r="B3" s="3218" t="s">
        <v>961</v>
      </c>
      <c r="C3" s="3219"/>
      <c r="D3" s="3219"/>
      <c r="E3" s="3219"/>
      <c r="F3" s="3219"/>
      <c r="G3" s="3219"/>
      <c r="H3" s="3219"/>
      <c r="I3" s="3219"/>
      <c r="J3" s="3219"/>
      <c r="K3" s="3219"/>
      <c r="L3" s="3219"/>
      <c r="M3" s="3219"/>
      <c r="N3" s="3220"/>
    </row>
    <row r="4" spans="2:14" ht="21.75" customHeight="1" x14ac:dyDescent="0.2">
      <c r="B4" s="514" t="s">
        <v>479</v>
      </c>
    </row>
    <row r="5" spans="2:14" s="371" customFormat="1" ht="15.65" x14ac:dyDescent="0.2">
      <c r="B5" s="621" t="s">
        <v>480</v>
      </c>
      <c r="C5" s="619"/>
      <c r="D5" s="619"/>
      <c r="E5" s="619"/>
      <c r="F5" s="619"/>
      <c r="G5" s="619"/>
      <c r="H5" s="246"/>
      <c r="I5" s="628" t="s">
        <v>499</v>
      </c>
      <c r="J5"/>
      <c r="K5"/>
      <c r="L5"/>
      <c r="M5"/>
    </row>
    <row r="6" spans="2:14" s="8" customFormat="1" ht="13.6" x14ac:dyDescent="0.2">
      <c r="B6" s="2450"/>
      <c r="C6" s="2451" t="s">
        <v>482</v>
      </c>
      <c r="D6" s="2452"/>
      <c r="E6" s="2452"/>
      <c r="F6" s="2452"/>
      <c r="G6" s="2453"/>
      <c r="H6"/>
      <c r="I6" s="2477" t="s">
        <v>481</v>
      </c>
      <c r="J6" s="2451" t="s">
        <v>512</v>
      </c>
      <c r="K6" s="2452"/>
      <c r="L6" s="2452"/>
      <c r="M6" s="2453"/>
    </row>
    <row r="7" spans="2:14" s="8" customFormat="1" ht="13.6" x14ac:dyDescent="0.2">
      <c r="B7" s="2436"/>
      <c r="C7" s="2454" t="s">
        <v>484</v>
      </c>
      <c r="D7" s="2455" t="s">
        <v>68</v>
      </c>
      <c r="E7" s="2455" t="s">
        <v>69</v>
      </c>
      <c r="F7" s="2455" t="s">
        <v>70</v>
      </c>
      <c r="G7" s="2456" t="s">
        <v>485</v>
      </c>
      <c r="H7"/>
      <c r="I7" s="2476" t="s">
        <v>483</v>
      </c>
      <c r="J7" s="2457" t="s">
        <v>513</v>
      </c>
      <c r="K7" s="2472"/>
      <c r="L7" s="2472" t="s">
        <v>514</v>
      </c>
      <c r="M7" s="2473"/>
    </row>
    <row r="8" spans="2:14" s="8" customFormat="1" ht="13.6" x14ac:dyDescent="0.25">
      <c r="B8" s="2478" t="s">
        <v>481</v>
      </c>
      <c r="C8" s="2457" t="s">
        <v>486</v>
      </c>
      <c r="D8" s="2458"/>
      <c r="E8" s="2458"/>
      <c r="F8" s="2458"/>
      <c r="G8" s="2459"/>
      <c r="H8"/>
      <c r="I8" s="615" t="s">
        <v>487</v>
      </c>
      <c r="J8" s="615" t="s">
        <v>488</v>
      </c>
      <c r="K8" s="613"/>
      <c r="L8" s="613"/>
      <c r="M8" s="614"/>
    </row>
    <row r="9" spans="2:14" s="8" customFormat="1" ht="13.6" x14ac:dyDescent="0.2">
      <c r="B9" s="2438" t="s">
        <v>483</v>
      </c>
      <c r="C9" s="2461">
        <v>75</v>
      </c>
      <c r="D9" s="2461">
        <v>150</v>
      </c>
      <c r="E9" s="2461">
        <v>200</v>
      </c>
      <c r="F9" s="2461">
        <v>230</v>
      </c>
      <c r="G9" s="2462">
        <v>260</v>
      </c>
      <c r="H9"/>
      <c r="I9" s="622">
        <v>18</v>
      </c>
      <c r="J9" s="625" t="s">
        <v>515</v>
      </c>
      <c r="K9" s="625"/>
      <c r="L9" s="625" t="s">
        <v>516</v>
      </c>
      <c r="M9" s="626"/>
    </row>
    <row r="10" spans="2:14" ht="13.6" x14ac:dyDescent="0.2">
      <c r="B10" s="615" t="s">
        <v>487</v>
      </c>
      <c r="C10" s="615" t="s">
        <v>488</v>
      </c>
      <c r="D10" s="613"/>
      <c r="E10" s="613"/>
      <c r="F10" s="613"/>
      <c r="G10" s="614"/>
    </row>
    <row r="11" spans="2:14" ht="13.6" customHeight="1" x14ac:dyDescent="0.2">
      <c r="B11" s="540">
        <v>20</v>
      </c>
      <c r="C11" s="609">
        <v>3.75</v>
      </c>
      <c r="D11" s="609">
        <v>7.5</v>
      </c>
      <c r="E11" s="609">
        <v>10</v>
      </c>
      <c r="F11" s="610">
        <v>11.5</v>
      </c>
      <c r="G11" s="611">
        <v>13.5</v>
      </c>
      <c r="I11" s="621" t="s">
        <v>252</v>
      </c>
      <c r="J11" s="619"/>
      <c r="K11" s="619"/>
      <c r="L11" s="619"/>
      <c r="M11" s="619"/>
    </row>
    <row r="12" spans="2:14" ht="13.6" customHeight="1" x14ac:dyDescent="0.2">
      <c r="B12" s="540">
        <v>25</v>
      </c>
      <c r="C12" s="609">
        <v>3</v>
      </c>
      <c r="D12" s="609">
        <v>6</v>
      </c>
      <c r="E12" s="609">
        <v>8</v>
      </c>
      <c r="F12" s="610">
        <v>9.1999999999999993</v>
      </c>
      <c r="G12" s="611">
        <v>10.4</v>
      </c>
      <c r="I12" s="2450"/>
      <c r="J12" s="2479"/>
      <c r="K12" s="2479"/>
      <c r="L12" s="2479"/>
      <c r="M12" s="2480"/>
    </row>
    <row r="13" spans="2:14" ht="13.6" customHeight="1" x14ac:dyDescent="0.2">
      <c r="B13" s="540">
        <v>30</v>
      </c>
      <c r="C13" s="609">
        <v>2.5</v>
      </c>
      <c r="D13" s="2475">
        <v>5</v>
      </c>
      <c r="E13" s="2475">
        <v>6.65</v>
      </c>
      <c r="F13" s="2475">
        <v>7.65</v>
      </c>
      <c r="G13" s="611">
        <v>8.65</v>
      </c>
      <c r="I13" s="2436" t="s">
        <v>481</v>
      </c>
      <c r="J13" s="2463"/>
      <c r="K13" s="2464" t="s">
        <v>233</v>
      </c>
      <c r="L13" s="3221" t="s">
        <v>848</v>
      </c>
      <c r="M13" s="3223" t="s">
        <v>849</v>
      </c>
    </row>
    <row r="14" spans="2:14" ht="13.6" customHeight="1" x14ac:dyDescent="0.2">
      <c r="B14" s="540">
        <v>35</v>
      </c>
      <c r="C14" s="609">
        <v>2.15</v>
      </c>
      <c r="D14" s="2475">
        <v>4.3</v>
      </c>
      <c r="E14" s="2475">
        <v>5.7</v>
      </c>
      <c r="F14" s="2475">
        <v>6.6</v>
      </c>
      <c r="G14" s="611">
        <v>7.4</v>
      </c>
      <c r="I14" s="2436" t="s">
        <v>483</v>
      </c>
      <c r="J14" s="2474" t="s">
        <v>234</v>
      </c>
      <c r="K14" s="2448" t="s">
        <v>509</v>
      </c>
      <c r="L14" s="3222"/>
      <c r="M14" s="3224"/>
    </row>
    <row r="15" spans="2:14" ht="13.6" customHeight="1" x14ac:dyDescent="0.2">
      <c r="B15" s="540">
        <v>40</v>
      </c>
      <c r="C15" s="609">
        <v>1.85</v>
      </c>
      <c r="D15" s="2475">
        <v>3.75</v>
      </c>
      <c r="E15" s="2475">
        <v>5</v>
      </c>
      <c r="F15" s="2475">
        <v>5.75</v>
      </c>
      <c r="G15" s="611">
        <v>6.5</v>
      </c>
      <c r="I15" s="2481" t="s">
        <v>487</v>
      </c>
      <c r="J15" s="3228" t="s">
        <v>488</v>
      </c>
      <c r="K15" s="3229"/>
      <c r="L15" s="3229"/>
      <c r="M15" s="3230"/>
    </row>
    <row r="16" spans="2:14" ht="13.6" customHeight="1" x14ac:dyDescent="0.2">
      <c r="B16" s="540">
        <v>45</v>
      </c>
      <c r="C16" s="609">
        <v>1.65</v>
      </c>
      <c r="D16" s="609">
        <v>3.3</v>
      </c>
      <c r="E16" s="609">
        <v>4.4000000000000004</v>
      </c>
      <c r="F16" s="610">
        <v>5.0999999999999996</v>
      </c>
      <c r="G16" s="611">
        <v>5.75</v>
      </c>
      <c r="I16" s="622">
        <v>86</v>
      </c>
      <c r="J16" s="623" t="s">
        <v>510</v>
      </c>
      <c r="K16" s="623">
        <v>1.2</v>
      </c>
      <c r="L16" s="623">
        <v>1.7</v>
      </c>
      <c r="M16" s="624">
        <v>2</v>
      </c>
    </row>
    <row r="17" spans="2:21" ht="13.6" customHeight="1" x14ac:dyDescent="0.2">
      <c r="B17" s="543">
        <v>50</v>
      </c>
      <c r="C17" s="616">
        <v>1.5</v>
      </c>
      <c r="D17" s="616">
        <v>3</v>
      </c>
      <c r="E17" s="616">
        <v>4</v>
      </c>
      <c r="F17" s="617">
        <v>4.5999999999999996</v>
      </c>
      <c r="G17" s="618">
        <v>5.2</v>
      </c>
    </row>
    <row r="18" spans="2:21" ht="13.6" customHeight="1" x14ac:dyDescent="0.2">
      <c r="B18" s="502"/>
      <c r="C18" s="609"/>
      <c r="D18" s="609"/>
      <c r="E18" s="609"/>
      <c r="F18" s="610"/>
      <c r="G18" s="610"/>
      <c r="I18" s="621" t="s">
        <v>40</v>
      </c>
      <c r="J18" s="619"/>
      <c r="K18" s="619"/>
      <c r="L18" s="619"/>
      <c r="M18" s="619"/>
      <c r="N18" s="610"/>
    </row>
    <row r="19" spans="2:21" ht="13.6" customHeight="1" x14ac:dyDescent="0.2">
      <c r="B19" s="621" t="s">
        <v>258</v>
      </c>
      <c r="C19" s="620"/>
      <c r="D19" s="620"/>
      <c r="E19" s="620"/>
      <c r="F19" s="620"/>
      <c r="G19" s="619"/>
      <c r="I19" s="2450"/>
      <c r="J19" s="2479"/>
      <c r="K19" s="2479"/>
      <c r="L19" s="2479"/>
      <c r="M19" s="2480"/>
    </row>
    <row r="20" spans="2:21" s="371" customFormat="1" ht="13.6" x14ac:dyDescent="0.2">
      <c r="B20" s="2450"/>
      <c r="C20" s="2451" t="s">
        <v>482</v>
      </c>
      <c r="D20" s="2452"/>
      <c r="E20" s="2452"/>
      <c r="F20" s="2452"/>
      <c r="G20" s="2453"/>
      <c r="H20" s="246"/>
      <c r="I20" s="2436" t="s">
        <v>481</v>
      </c>
      <c r="J20" s="2463"/>
      <c r="K20" s="2464"/>
      <c r="L20" s="3221"/>
      <c r="M20" s="3223"/>
    </row>
    <row r="21" spans="2:21" s="8" customFormat="1" ht="13.6" x14ac:dyDescent="0.2">
      <c r="B21" s="2436"/>
      <c r="C21" s="2454" t="s">
        <v>484</v>
      </c>
      <c r="D21" s="2455" t="s">
        <v>68</v>
      </c>
      <c r="E21" s="2455" t="s">
        <v>69</v>
      </c>
      <c r="F21" s="2455" t="s">
        <v>70</v>
      </c>
      <c r="G21" s="2456" t="s">
        <v>485</v>
      </c>
      <c r="H21"/>
      <c r="I21" s="2436" t="s">
        <v>483</v>
      </c>
      <c r="J21" s="2474"/>
      <c r="K21" s="2448"/>
      <c r="L21" s="3222"/>
      <c r="M21" s="3224"/>
    </row>
    <row r="22" spans="2:21" s="8" customFormat="1" ht="13.6" x14ac:dyDescent="0.25">
      <c r="B22" s="2478" t="s">
        <v>481</v>
      </c>
      <c r="C22" s="2458" t="s">
        <v>486</v>
      </c>
      <c r="D22" s="2458"/>
      <c r="E22" s="2458"/>
      <c r="F22" s="2458"/>
      <c r="G22" s="2459"/>
      <c r="H22"/>
      <c r="I22" s="2481" t="s">
        <v>487</v>
      </c>
      <c r="J22" s="3228" t="s">
        <v>488</v>
      </c>
      <c r="K22" s="3229"/>
      <c r="L22" s="3229"/>
      <c r="M22" s="3230"/>
    </row>
    <row r="23" spans="2:21" s="8" customFormat="1" ht="13.6" x14ac:dyDescent="0.2">
      <c r="B23" s="2438" t="s">
        <v>483</v>
      </c>
      <c r="C23" s="2461">
        <v>100</v>
      </c>
      <c r="D23" s="2461">
        <v>200</v>
      </c>
      <c r="E23" s="2461">
        <v>230</v>
      </c>
      <c r="F23" s="2461">
        <v>260</v>
      </c>
      <c r="G23" s="2462">
        <v>280</v>
      </c>
      <c r="H23"/>
      <c r="I23" s="622">
        <v>90</v>
      </c>
      <c r="J23" s="623">
        <v>4.5</v>
      </c>
      <c r="K23" s="623"/>
      <c r="L23" s="623"/>
      <c r="M23" s="624"/>
      <c r="N23" s="619"/>
    </row>
    <row r="24" spans="2:21" s="8" customFormat="1" ht="13.6" x14ac:dyDescent="0.2">
      <c r="B24" s="615" t="s">
        <v>487</v>
      </c>
      <c r="C24" s="615" t="s">
        <v>488</v>
      </c>
      <c r="D24" s="613"/>
      <c r="E24" s="613"/>
      <c r="F24" s="613"/>
      <c r="G24" s="614"/>
      <c r="H24"/>
    </row>
    <row r="25" spans="2:21" s="8" customFormat="1" ht="15.65" x14ac:dyDescent="0.2">
      <c r="B25" s="540">
        <v>20</v>
      </c>
      <c r="C25" s="609">
        <v>4</v>
      </c>
      <c r="D25" s="609">
        <v>8</v>
      </c>
      <c r="E25" s="609">
        <v>9.1999999999999993</v>
      </c>
      <c r="F25" s="610">
        <v>10.4</v>
      </c>
      <c r="G25" s="611">
        <v>11.2</v>
      </c>
      <c r="H25"/>
      <c r="I25" s="621" t="s">
        <v>232</v>
      </c>
    </row>
    <row r="26" spans="2:21" ht="13.6" x14ac:dyDescent="0.2">
      <c r="B26" s="540">
        <v>27</v>
      </c>
      <c r="C26" s="609">
        <v>3.7</v>
      </c>
      <c r="D26" s="609">
        <v>7.4</v>
      </c>
      <c r="E26" s="609">
        <v>8.5</v>
      </c>
      <c r="F26" s="610">
        <v>9.6</v>
      </c>
      <c r="G26" s="611">
        <v>10.35</v>
      </c>
      <c r="I26" s="2465"/>
      <c r="J26" s="2451" t="s">
        <v>482</v>
      </c>
      <c r="K26" s="2452"/>
      <c r="L26" s="2452"/>
      <c r="M26" s="2452"/>
      <c r="N26" s="2453"/>
    </row>
    <row r="27" spans="2:21" ht="13.6" x14ac:dyDescent="0.2">
      <c r="B27" s="540">
        <v>30</v>
      </c>
      <c r="C27" s="609">
        <v>3.3</v>
      </c>
      <c r="D27" s="2475">
        <v>6.65</v>
      </c>
      <c r="E27" s="2475">
        <v>7.65</v>
      </c>
      <c r="F27" s="2475">
        <v>8.65</v>
      </c>
      <c r="G27" s="611">
        <v>9.3000000000000007</v>
      </c>
      <c r="I27" s="2436"/>
      <c r="J27" s="2454" t="s">
        <v>484</v>
      </c>
      <c r="K27" s="2455" t="s">
        <v>68</v>
      </c>
      <c r="L27" s="2455" t="s">
        <v>69</v>
      </c>
      <c r="M27" s="2455" t="s">
        <v>70</v>
      </c>
      <c r="N27" s="2456" t="s">
        <v>485</v>
      </c>
    </row>
    <row r="28" spans="2:21" ht="13.6" x14ac:dyDescent="0.25">
      <c r="B28" s="540">
        <v>33</v>
      </c>
      <c r="C28" s="609">
        <v>3</v>
      </c>
      <c r="D28" s="2475">
        <v>6</v>
      </c>
      <c r="E28" s="2475">
        <v>6.9</v>
      </c>
      <c r="F28" s="2475">
        <v>7.8</v>
      </c>
      <c r="G28" s="611">
        <v>8.4</v>
      </c>
      <c r="I28" s="2478" t="s">
        <v>481</v>
      </c>
      <c r="J28" s="2458" t="s">
        <v>486</v>
      </c>
      <c r="K28" s="2458"/>
      <c r="L28" s="2458"/>
      <c r="M28" s="2458"/>
      <c r="N28" s="2459"/>
    </row>
    <row r="29" spans="2:21" ht="13.6" customHeight="1" x14ac:dyDescent="0.2">
      <c r="B29" s="540">
        <v>35</v>
      </c>
      <c r="C29" s="609">
        <v>2.85</v>
      </c>
      <c r="D29" s="2475">
        <v>5.7</v>
      </c>
      <c r="E29" s="2475">
        <v>6.6</v>
      </c>
      <c r="F29" s="2475">
        <v>7.4</v>
      </c>
      <c r="G29" s="611">
        <v>8</v>
      </c>
      <c r="I29" s="2438" t="s">
        <v>483</v>
      </c>
      <c r="J29" s="2461">
        <v>100</v>
      </c>
      <c r="K29" s="2461">
        <v>200</v>
      </c>
      <c r="L29" s="2461">
        <v>230</v>
      </c>
      <c r="M29" s="2461">
        <v>260</v>
      </c>
      <c r="N29" s="2462">
        <v>280</v>
      </c>
    </row>
    <row r="30" spans="2:21" s="371" customFormat="1" ht="13.6" x14ac:dyDescent="0.2">
      <c r="B30" s="540">
        <v>37</v>
      </c>
      <c r="C30" s="609">
        <v>2.7</v>
      </c>
      <c r="D30" s="609">
        <v>5.4</v>
      </c>
      <c r="E30" s="609">
        <v>6.2</v>
      </c>
      <c r="F30" s="610">
        <v>7</v>
      </c>
      <c r="G30" s="611">
        <v>7.55</v>
      </c>
      <c r="H30" s="246"/>
      <c r="I30" s="615" t="s">
        <v>487</v>
      </c>
      <c r="J30" s="615" t="s">
        <v>488</v>
      </c>
      <c r="K30" s="613"/>
      <c r="L30" s="613"/>
      <c r="M30" s="613"/>
      <c r="N30" s="614"/>
      <c r="P30"/>
      <c r="Q30"/>
      <c r="R30"/>
      <c r="S30"/>
      <c r="T30"/>
      <c r="U30"/>
    </row>
    <row r="31" spans="2:21" s="8" customFormat="1" x14ac:dyDescent="0.2">
      <c r="B31" s="543">
        <v>40</v>
      </c>
      <c r="C31" s="616">
        <v>2.5</v>
      </c>
      <c r="D31" s="616">
        <v>5</v>
      </c>
      <c r="E31" s="616">
        <v>5.75</v>
      </c>
      <c r="F31" s="617">
        <v>6.5</v>
      </c>
      <c r="G31" s="618">
        <v>7</v>
      </c>
      <c r="I31" s="543" t="s">
        <v>511</v>
      </c>
      <c r="J31" s="616">
        <v>6</v>
      </c>
      <c r="K31" s="616">
        <v>7</v>
      </c>
      <c r="L31" s="616">
        <v>8</v>
      </c>
      <c r="M31" s="617">
        <v>9</v>
      </c>
      <c r="N31" s="618">
        <v>10</v>
      </c>
      <c r="P31"/>
      <c r="Q31"/>
      <c r="R31"/>
      <c r="S31"/>
      <c r="T31"/>
      <c r="U31" s="619"/>
    </row>
    <row r="32" spans="2:21" s="8" customFormat="1" x14ac:dyDescent="0.2">
      <c r="B32"/>
      <c r="C32"/>
      <c r="D32"/>
      <c r="E32"/>
      <c r="F32"/>
      <c r="G32"/>
      <c r="L32" s="609"/>
      <c r="P32"/>
      <c r="Q32"/>
      <c r="R32"/>
      <c r="S32"/>
      <c r="T32"/>
      <c r="U32"/>
    </row>
    <row r="33" spans="2:21" s="8" customFormat="1" x14ac:dyDescent="0.2">
      <c r="B33" s="2475"/>
      <c r="C33" s="8" t="s">
        <v>489</v>
      </c>
      <c r="D33" s="609"/>
      <c r="E33"/>
      <c r="F33"/>
      <c r="G33"/>
      <c r="H33"/>
      <c r="L33" s="609"/>
      <c r="P33"/>
      <c r="Q33"/>
      <c r="R33"/>
      <c r="S33"/>
      <c r="T33"/>
      <c r="U33"/>
    </row>
    <row r="34" spans="2:21" s="8" customFormat="1" x14ac:dyDescent="0.2">
      <c r="B34"/>
      <c r="D34" s="609"/>
      <c r="E34"/>
      <c r="F34"/>
      <c r="G34"/>
      <c r="H34"/>
      <c r="L34" s="609"/>
      <c r="P34"/>
      <c r="Q34"/>
      <c r="R34"/>
      <c r="S34"/>
      <c r="T34"/>
      <c r="U34"/>
    </row>
    <row r="35" spans="2:21" ht="17.7" x14ac:dyDescent="0.2">
      <c r="B35" s="514" t="s">
        <v>517</v>
      </c>
    </row>
    <row r="36" spans="2:21" ht="15.65" x14ac:dyDescent="0.2">
      <c r="B36" s="2434" t="s">
        <v>519</v>
      </c>
      <c r="C36" s="2452"/>
      <c r="D36" s="2452"/>
      <c r="E36" s="2468" t="s">
        <v>520</v>
      </c>
      <c r="F36" s="2451" t="s">
        <v>521</v>
      </c>
      <c r="G36" s="2452"/>
      <c r="H36" s="2452"/>
      <c r="I36" s="2452"/>
      <c r="J36" s="2452"/>
      <c r="K36" s="2452"/>
      <c r="L36" s="2452"/>
      <c r="M36" s="2452"/>
      <c r="N36" s="2453"/>
    </row>
    <row r="37" spans="2:21" s="8" customFormat="1" ht="19.55" customHeight="1" x14ac:dyDescent="0.2">
      <c r="B37" s="2435" t="s">
        <v>522</v>
      </c>
      <c r="C37" s="2466"/>
      <c r="D37" s="2466"/>
      <c r="E37" s="2469"/>
      <c r="F37" s="2469" t="s">
        <v>523</v>
      </c>
      <c r="G37" s="2470" t="s">
        <v>235</v>
      </c>
      <c r="H37" s="2466"/>
      <c r="I37" s="2466"/>
      <c r="J37" s="2467"/>
      <c r="K37" s="2470" t="s">
        <v>252</v>
      </c>
      <c r="L37" s="2466"/>
      <c r="M37" s="2466"/>
      <c r="N37" s="2467"/>
    </row>
    <row r="38" spans="2:21" s="8" customFormat="1" ht="13.6" x14ac:dyDescent="0.2">
      <c r="B38" s="2446"/>
      <c r="C38" s="2471"/>
      <c r="D38" s="2471"/>
      <c r="E38" s="2460" t="s">
        <v>487</v>
      </c>
      <c r="F38" s="2460"/>
      <c r="G38" s="2447" t="s">
        <v>497</v>
      </c>
      <c r="H38" s="2448" t="s">
        <v>498</v>
      </c>
      <c r="I38" s="2448" t="s">
        <v>69</v>
      </c>
      <c r="J38" s="2449" t="s">
        <v>524</v>
      </c>
      <c r="K38" s="2447" t="s">
        <v>497</v>
      </c>
      <c r="L38" s="2448" t="s">
        <v>498</v>
      </c>
      <c r="M38" s="2448" t="s">
        <v>69</v>
      </c>
      <c r="N38" s="2449" t="s">
        <v>524</v>
      </c>
    </row>
    <row r="39" spans="2:21" s="8" customFormat="1" ht="19.55" customHeight="1" x14ac:dyDescent="0.2">
      <c r="B39" s="512" t="s">
        <v>525</v>
      </c>
      <c r="C39" s="84"/>
      <c r="D39" s="84"/>
      <c r="E39" s="84"/>
      <c r="F39" s="84"/>
      <c r="G39" s="627" t="s">
        <v>526</v>
      </c>
      <c r="H39" s="293"/>
      <c r="I39" s="84"/>
      <c r="J39" s="84"/>
      <c r="K39" s="84"/>
      <c r="L39" s="293"/>
      <c r="M39" s="84"/>
      <c r="N39" s="513"/>
    </row>
    <row r="40" spans="2:21" s="8" customFormat="1" x14ac:dyDescent="0.2">
      <c r="B40" s="515" t="s">
        <v>505</v>
      </c>
      <c r="C40" s="163"/>
      <c r="D40" s="163"/>
      <c r="E40" s="540">
        <v>80</v>
      </c>
      <c r="F40" s="530">
        <v>6.8</v>
      </c>
      <c r="G40" s="532" t="s">
        <v>278</v>
      </c>
      <c r="H40" s="530">
        <v>6.5</v>
      </c>
      <c r="I40" s="530">
        <v>6.4</v>
      </c>
      <c r="J40" s="531">
        <v>6.2</v>
      </c>
      <c r="K40" s="532">
        <v>6.3</v>
      </c>
      <c r="L40" s="530">
        <v>6.1</v>
      </c>
      <c r="M40" s="530">
        <v>5.8</v>
      </c>
      <c r="N40" s="531">
        <v>5.6</v>
      </c>
    </row>
    <row r="41" spans="2:21" ht="15.8" customHeight="1" x14ac:dyDescent="0.2">
      <c r="B41" s="515" t="s">
        <v>279</v>
      </c>
      <c r="C41" s="163"/>
      <c r="D41" s="163"/>
      <c r="E41" s="540">
        <v>75</v>
      </c>
      <c r="F41" s="530">
        <v>6.5</v>
      </c>
      <c r="G41" s="532">
        <v>6.3</v>
      </c>
      <c r="H41" s="530">
        <v>6.2</v>
      </c>
      <c r="I41" s="530">
        <v>6.1</v>
      </c>
      <c r="J41" s="531">
        <v>5.9</v>
      </c>
      <c r="K41" s="532">
        <v>6</v>
      </c>
      <c r="L41" s="530">
        <v>5.8</v>
      </c>
      <c r="M41" s="530">
        <v>5.5</v>
      </c>
      <c r="N41" s="531">
        <v>5.3</v>
      </c>
    </row>
    <row r="42" spans="2:21" ht="15.8" customHeight="1" x14ac:dyDescent="0.2">
      <c r="B42" s="515" t="s">
        <v>280</v>
      </c>
      <c r="C42" s="163"/>
      <c r="D42" s="163"/>
      <c r="E42" s="540">
        <v>70</v>
      </c>
      <c r="F42" s="530">
        <v>6</v>
      </c>
      <c r="G42" s="532">
        <v>5.8</v>
      </c>
      <c r="H42" s="530">
        <v>5.7</v>
      </c>
      <c r="I42" s="530">
        <v>5.4</v>
      </c>
      <c r="J42" s="531">
        <v>5.4</v>
      </c>
      <c r="K42" s="532">
        <v>5.5</v>
      </c>
      <c r="L42" s="530">
        <v>5.3</v>
      </c>
      <c r="M42" s="530">
        <v>5</v>
      </c>
      <c r="N42" s="531">
        <v>4.8</v>
      </c>
    </row>
    <row r="43" spans="2:21" ht="15.8" customHeight="1" x14ac:dyDescent="0.2">
      <c r="B43" s="515" t="s">
        <v>281</v>
      </c>
      <c r="C43" s="163"/>
      <c r="D43" s="163"/>
      <c r="E43" s="540">
        <v>65</v>
      </c>
      <c r="F43" s="530">
        <v>5.4</v>
      </c>
      <c r="G43" s="532">
        <v>5.2</v>
      </c>
      <c r="H43" s="530">
        <v>5.0999999999999996</v>
      </c>
      <c r="I43" s="530">
        <v>5</v>
      </c>
      <c r="J43" s="531">
        <v>4.8</v>
      </c>
      <c r="K43" s="532">
        <v>4.9000000000000004</v>
      </c>
      <c r="L43" s="530">
        <v>4.7</v>
      </c>
      <c r="M43" s="530">
        <v>4.4000000000000004</v>
      </c>
      <c r="N43" s="531">
        <v>4.2</v>
      </c>
    </row>
    <row r="44" spans="2:21" ht="15.8" customHeight="1" x14ac:dyDescent="0.2">
      <c r="B44" s="523" t="s">
        <v>541</v>
      </c>
      <c r="C44" s="293"/>
      <c r="D44" s="293"/>
      <c r="E44" s="541">
        <v>60</v>
      </c>
      <c r="F44" s="534">
        <v>4.9000000000000004</v>
      </c>
      <c r="G44" s="533">
        <v>4.7</v>
      </c>
      <c r="H44" s="534">
        <v>4.5999999999999996</v>
      </c>
      <c r="I44" s="534">
        <v>4.5</v>
      </c>
      <c r="J44" s="535">
        <v>4.3</v>
      </c>
      <c r="K44" s="533">
        <v>4.4000000000000004</v>
      </c>
      <c r="L44" s="534">
        <v>4.2</v>
      </c>
      <c r="M44" s="534">
        <v>4</v>
      </c>
      <c r="N44" s="535">
        <v>3.7</v>
      </c>
    </row>
    <row r="45" spans="2:21" ht="18.7" customHeight="1" x14ac:dyDescent="0.2">
      <c r="B45" s="512" t="s">
        <v>525</v>
      </c>
      <c r="C45" s="84"/>
      <c r="D45" s="84"/>
      <c r="E45" s="84"/>
      <c r="F45" s="84"/>
      <c r="G45" s="627" t="s">
        <v>527</v>
      </c>
      <c r="H45" s="293"/>
      <c r="I45" s="84"/>
      <c r="J45" s="84"/>
      <c r="K45" s="84"/>
      <c r="L45" s="293"/>
      <c r="M45" s="84"/>
      <c r="N45" s="513"/>
    </row>
    <row r="46" spans="2:21" s="8" customFormat="1" x14ac:dyDescent="0.2">
      <c r="B46" s="515" t="s">
        <v>528</v>
      </c>
      <c r="C46" s="163"/>
      <c r="D46" s="163"/>
      <c r="E46" s="540">
        <v>75</v>
      </c>
      <c r="F46" s="530">
        <v>6.3</v>
      </c>
      <c r="G46" s="532">
        <v>6.1</v>
      </c>
      <c r="H46" s="530">
        <v>6</v>
      </c>
      <c r="I46" s="530">
        <v>5.9</v>
      </c>
      <c r="J46" s="531">
        <v>5.7</v>
      </c>
      <c r="K46" s="532">
        <v>5.8</v>
      </c>
      <c r="L46" s="530">
        <v>5.6</v>
      </c>
      <c r="M46" s="530">
        <v>5.3</v>
      </c>
      <c r="N46" s="531">
        <v>5.0999999999999996</v>
      </c>
    </row>
    <row r="47" spans="2:21" ht="15.8" customHeight="1" x14ac:dyDescent="0.2">
      <c r="B47" s="515" t="s">
        <v>530</v>
      </c>
      <c r="C47" s="163"/>
      <c r="D47" s="163"/>
      <c r="E47" s="540">
        <v>70</v>
      </c>
      <c r="F47" s="530">
        <v>6.1</v>
      </c>
      <c r="G47" s="532">
        <v>5.9</v>
      </c>
      <c r="H47" s="530">
        <v>5.8</v>
      </c>
      <c r="I47" s="530">
        <v>5.7</v>
      </c>
      <c r="J47" s="531">
        <v>5.5</v>
      </c>
      <c r="K47" s="532">
        <v>5.6</v>
      </c>
      <c r="L47" s="530">
        <v>5.4</v>
      </c>
      <c r="M47" s="530">
        <v>5.0999999999999996</v>
      </c>
      <c r="N47" s="531">
        <v>4.9000000000000004</v>
      </c>
    </row>
    <row r="48" spans="2:21" x14ac:dyDescent="0.2">
      <c r="B48" s="515" t="s">
        <v>531</v>
      </c>
      <c r="C48" s="163"/>
      <c r="D48" s="163"/>
      <c r="E48" s="540">
        <v>65</v>
      </c>
      <c r="F48" s="530">
        <v>5.6</v>
      </c>
      <c r="G48" s="532">
        <v>5.4</v>
      </c>
      <c r="H48" s="530">
        <v>5.3</v>
      </c>
      <c r="I48" s="530">
        <v>5.2</v>
      </c>
      <c r="J48" s="531">
        <v>5</v>
      </c>
      <c r="K48" s="532">
        <v>5.0999999999999996</v>
      </c>
      <c r="L48" s="530">
        <v>5.0999999999999996</v>
      </c>
      <c r="M48" s="530">
        <v>4.5999999999999996</v>
      </c>
      <c r="N48" s="531">
        <v>4.4000000000000004</v>
      </c>
    </row>
    <row r="49" spans="1:14" x14ac:dyDescent="0.2">
      <c r="B49" s="523" t="s">
        <v>532</v>
      </c>
      <c r="C49" s="293"/>
      <c r="D49" s="293"/>
      <c r="E49" s="541">
        <v>60</v>
      </c>
      <c r="F49" s="534">
        <v>5.2</v>
      </c>
      <c r="G49" s="533">
        <v>5</v>
      </c>
      <c r="H49" s="534">
        <v>4.9000000000000004</v>
      </c>
      <c r="I49" s="534">
        <v>4.8</v>
      </c>
      <c r="J49" s="535">
        <v>4.5999999999999996</v>
      </c>
      <c r="K49" s="533">
        <v>4.7</v>
      </c>
      <c r="L49" s="534">
        <v>4.7</v>
      </c>
      <c r="M49" s="534">
        <v>4.2</v>
      </c>
      <c r="N49" s="535">
        <v>4</v>
      </c>
    </row>
    <row r="50" spans="1:14" ht="13.6" x14ac:dyDescent="0.2">
      <c r="B50" s="512" t="s">
        <v>533</v>
      </c>
      <c r="C50" s="84"/>
      <c r="D50" s="84"/>
      <c r="E50" s="542"/>
      <c r="F50" s="536"/>
      <c r="G50" s="536"/>
      <c r="H50" s="534"/>
      <c r="I50" s="536"/>
      <c r="J50" s="536"/>
      <c r="K50" s="536"/>
      <c r="L50" s="534"/>
      <c r="M50" s="536"/>
      <c r="N50" s="537"/>
    </row>
    <row r="51" spans="1:14" s="8" customFormat="1" x14ac:dyDescent="0.2">
      <c r="B51" s="515" t="s">
        <v>236</v>
      </c>
      <c r="C51" s="163"/>
      <c r="D51"/>
      <c r="E51" s="706" t="s">
        <v>534</v>
      </c>
      <c r="F51" s="531"/>
      <c r="G51" s="530">
        <v>7</v>
      </c>
      <c r="H51" s="530">
        <v>6.7</v>
      </c>
      <c r="I51" s="530">
        <v>6.4</v>
      </c>
      <c r="J51" s="531">
        <v>6.1</v>
      </c>
      <c r="K51" s="530"/>
      <c r="L51" s="530"/>
      <c r="M51" s="530"/>
      <c r="N51" s="531"/>
    </row>
    <row r="52" spans="1:14" x14ac:dyDescent="0.2">
      <c r="B52" s="2483" t="s">
        <v>856</v>
      </c>
      <c r="C52" s="163"/>
      <c r="E52" s="706">
        <v>89</v>
      </c>
      <c r="F52" s="531"/>
      <c r="G52" s="530"/>
      <c r="H52" s="530">
        <v>7.6</v>
      </c>
      <c r="I52" s="530"/>
      <c r="J52" s="531"/>
      <c r="K52" s="530"/>
      <c r="L52" s="530"/>
      <c r="M52" s="530"/>
      <c r="N52" s="531"/>
    </row>
    <row r="53" spans="1:14" ht="15.8" customHeight="1" x14ac:dyDescent="0.2">
      <c r="B53" s="516" t="s">
        <v>66</v>
      </c>
      <c r="C53" s="36"/>
      <c r="D53" s="36"/>
      <c r="E53" s="707" t="s">
        <v>264</v>
      </c>
      <c r="F53" s="538"/>
      <c r="G53" s="539">
        <v>6</v>
      </c>
      <c r="H53" s="539">
        <v>5.8</v>
      </c>
      <c r="I53" s="539">
        <v>5.6</v>
      </c>
      <c r="J53" s="538">
        <v>5.2</v>
      </c>
      <c r="K53" s="539"/>
      <c r="L53" s="539"/>
      <c r="M53" s="539"/>
      <c r="N53" s="538"/>
    </row>
    <row r="54" spans="1:14" ht="13.6" customHeight="1" x14ac:dyDescent="0.2">
      <c r="B54" s="2484" t="s">
        <v>265</v>
      </c>
    </row>
    <row r="55" spans="1:14" ht="13.6" customHeight="1" x14ac:dyDescent="0.2">
      <c r="B55" s="2495"/>
    </row>
    <row r="56" spans="1:14" ht="15.65" x14ac:dyDescent="0.25">
      <c r="B56" s="764" t="s">
        <v>861</v>
      </c>
    </row>
    <row r="57" spans="1:14" ht="30.6" customHeight="1" x14ac:dyDescent="0.2">
      <c r="B57" s="3225" t="s">
        <v>824</v>
      </c>
      <c r="C57" s="3226"/>
      <c r="D57" s="3226"/>
      <c r="E57" s="3227"/>
      <c r="F57" s="2677" t="s">
        <v>254</v>
      </c>
      <c r="G57" s="2677" t="s">
        <v>1254</v>
      </c>
      <c r="H57" s="2677" t="s">
        <v>1253</v>
      </c>
      <c r="I57" s="2677" t="s">
        <v>499</v>
      </c>
      <c r="J57" s="2677" t="s">
        <v>235</v>
      </c>
      <c r="K57" s="2677" t="s">
        <v>941</v>
      </c>
      <c r="L57" s="2677" t="s">
        <v>40</v>
      </c>
      <c r="M57" s="2677" t="s">
        <v>1046</v>
      </c>
      <c r="N57" s="2678"/>
    </row>
    <row r="58" spans="1:14" ht="15.65" x14ac:dyDescent="0.25">
      <c r="A58" s="2117">
        <f>ROWS($A$58:A58)</f>
        <v>1</v>
      </c>
      <c r="B58" s="2661" t="s">
        <v>858</v>
      </c>
      <c r="C58" s="2662"/>
      <c r="D58" s="2663"/>
      <c r="E58" s="2668" t="s">
        <v>859</v>
      </c>
      <c r="F58" s="2668">
        <v>1</v>
      </c>
      <c r="G58" s="2488">
        <v>2</v>
      </c>
      <c r="H58" s="2488">
        <v>3</v>
      </c>
      <c r="I58" s="2488">
        <v>4</v>
      </c>
      <c r="J58" s="2488">
        <v>5</v>
      </c>
      <c r="K58" s="2488">
        <v>6</v>
      </c>
      <c r="L58" s="2488">
        <v>7</v>
      </c>
      <c r="M58" s="2488">
        <v>8</v>
      </c>
      <c r="N58" s="2489">
        <v>9</v>
      </c>
    </row>
    <row r="59" spans="1:14" x14ac:dyDescent="0.2">
      <c r="A59" s="2117">
        <f>ROWS($A$58:A59)</f>
        <v>2</v>
      </c>
      <c r="B59" s="2664"/>
      <c r="C59" s="1796" t="s">
        <v>857</v>
      </c>
      <c r="D59" s="1796"/>
      <c r="E59" s="2669" t="s">
        <v>487</v>
      </c>
      <c r="F59" s="2490">
        <v>0.15</v>
      </c>
      <c r="G59" s="2490">
        <v>0.2</v>
      </c>
      <c r="H59" s="2490">
        <v>0.25</v>
      </c>
      <c r="I59" s="2490">
        <v>0.05</v>
      </c>
      <c r="J59" s="2490">
        <v>0.05</v>
      </c>
      <c r="K59" s="2490">
        <v>0.1</v>
      </c>
      <c r="L59" s="2490">
        <v>0.05</v>
      </c>
      <c r="M59" s="2490">
        <v>0.05</v>
      </c>
      <c r="N59" s="2490">
        <v>0</v>
      </c>
    </row>
    <row r="60" spans="1:14" x14ac:dyDescent="0.2">
      <c r="A60" s="2117">
        <f>ROWS($A$58:A60)</f>
        <v>3</v>
      </c>
      <c r="B60" s="2665"/>
      <c r="C60" s="2332" t="s">
        <v>860</v>
      </c>
      <c r="D60" s="1796"/>
      <c r="E60" s="2485" t="s">
        <v>487</v>
      </c>
      <c r="F60" s="2491">
        <v>0</v>
      </c>
      <c r="G60" s="2491">
        <v>0</v>
      </c>
      <c r="H60" s="2491">
        <v>0</v>
      </c>
      <c r="I60" s="2491">
        <v>0</v>
      </c>
      <c r="J60" s="2491">
        <v>7.0000000000000007E-2</v>
      </c>
      <c r="K60" s="2491">
        <v>0.05</v>
      </c>
      <c r="L60" s="2491">
        <v>0</v>
      </c>
      <c r="M60" s="2491">
        <v>0.05</v>
      </c>
      <c r="N60" s="2491">
        <v>0</v>
      </c>
    </row>
    <row r="61" spans="1:14" ht="13.6" x14ac:dyDescent="0.25">
      <c r="A61" s="2117">
        <f>ROWS($A$58:A61)</f>
        <v>4</v>
      </c>
      <c r="B61" s="2666" t="s">
        <v>556</v>
      </c>
      <c r="C61" s="1796"/>
      <c r="D61" s="1796"/>
      <c r="E61" s="2659"/>
      <c r="F61" s="2660"/>
      <c r="G61" s="2660"/>
      <c r="H61" s="2660"/>
      <c r="I61" s="2660"/>
      <c r="J61" s="2660"/>
      <c r="K61" s="2660"/>
      <c r="L61" s="2660"/>
      <c r="M61" s="2660"/>
      <c r="N61" s="2660"/>
    </row>
    <row r="62" spans="1:14" x14ac:dyDescent="0.2">
      <c r="A62" s="2117">
        <f>ROWS($A$58:A62)</f>
        <v>5</v>
      </c>
      <c r="B62" s="2665"/>
      <c r="C62" s="2804" t="s">
        <v>1095</v>
      </c>
      <c r="D62" s="1796"/>
      <c r="E62" s="2485" t="s">
        <v>487</v>
      </c>
      <c r="F62" s="2491">
        <v>0.18</v>
      </c>
      <c r="G62" s="2491">
        <v>0.19</v>
      </c>
      <c r="H62" s="2491">
        <v>0.2</v>
      </c>
      <c r="I62" s="2491">
        <v>0.18</v>
      </c>
      <c r="J62" s="2491">
        <v>0.35</v>
      </c>
      <c r="K62" s="2491">
        <v>0.88</v>
      </c>
      <c r="L62" s="2491">
        <v>0.9</v>
      </c>
      <c r="M62" s="2491">
        <v>0.88</v>
      </c>
      <c r="N62" s="2491">
        <v>0</v>
      </c>
    </row>
    <row r="63" spans="1:14" x14ac:dyDescent="0.2">
      <c r="A63" s="2117">
        <f>ROWS($A$58:A63)</f>
        <v>6</v>
      </c>
      <c r="B63" s="2665"/>
      <c r="C63" s="1796" t="s">
        <v>126</v>
      </c>
      <c r="D63" s="1796"/>
      <c r="E63" s="2485" t="s">
        <v>487</v>
      </c>
      <c r="F63" s="2491">
        <v>0.18</v>
      </c>
      <c r="G63" s="2491">
        <v>0.19</v>
      </c>
      <c r="H63" s="2491">
        <v>0.2</v>
      </c>
      <c r="I63" s="2491">
        <v>0.18</v>
      </c>
      <c r="J63" s="2491">
        <v>0.37</v>
      </c>
      <c r="K63" s="2491">
        <v>0.9</v>
      </c>
      <c r="L63" s="2491">
        <v>0.9</v>
      </c>
      <c r="M63" s="2491">
        <v>0.9</v>
      </c>
      <c r="N63" s="2491">
        <v>0</v>
      </c>
    </row>
    <row r="64" spans="1:14" x14ac:dyDescent="0.2">
      <c r="A64" s="2117">
        <f>ROWS($A$58:A64)</f>
        <v>7</v>
      </c>
      <c r="B64" s="2664" t="s">
        <v>950</v>
      </c>
      <c r="C64" s="1796"/>
      <c r="D64" s="1796"/>
      <c r="E64" s="2486" t="s">
        <v>560</v>
      </c>
      <c r="F64" s="2492"/>
      <c r="G64" s="2492"/>
      <c r="H64" s="2492"/>
      <c r="I64" s="2492">
        <v>3.2</v>
      </c>
      <c r="J64" s="2492">
        <v>6.6</v>
      </c>
      <c r="K64" s="2492">
        <v>1.8</v>
      </c>
      <c r="L64" s="2492">
        <v>4.5</v>
      </c>
      <c r="M64" s="2492">
        <v>1.8</v>
      </c>
      <c r="N64" s="2492">
        <v>0</v>
      </c>
    </row>
    <row r="65" spans="1:14" x14ac:dyDescent="0.2">
      <c r="A65" s="2117">
        <f>ROWS($A$58:A65)</f>
        <v>8</v>
      </c>
      <c r="B65" s="2664" t="s">
        <v>1045</v>
      </c>
      <c r="C65" s="1796"/>
      <c r="D65" s="1796"/>
      <c r="E65" s="2486" t="s">
        <v>559</v>
      </c>
      <c r="F65" s="2493">
        <v>0</v>
      </c>
      <c r="G65" s="2493">
        <v>0</v>
      </c>
      <c r="H65" s="2493">
        <v>0</v>
      </c>
      <c r="I65" s="2493">
        <v>0</v>
      </c>
      <c r="J65" s="2493">
        <f>'Lager-Fläche'!$L$13</f>
        <v>2.5287500000000001</v>
      </c>
      <c r="K65" s="2493">
        <f>'Lager-Fläche'!$L$22</f>
        <v>2.9839249999999997</v>
      </c>
      <c r="L65" s="2493">
        <f>'Lager-Fläche'!$L$41</f>
        <v>2.2312500000000002</v>
      </c>
      <c r="M65" s="2493">
        <f>'Lager-Fläche'!$L$33</f>
        <v>7.2976749999999999</v>
      </c>
      <c r="N65" s="2493">
        <v>0</v>
      </c>
    </row>
    <row r="66" spans="1:14" x14ac:dyDescent="0.2">
      <c r="A66" s="2117">
        <f>ROWS($A$58:A66)</f>
        <v>9</v>
      </c>
      <c r="B66" s="2670"/>
      <c r="C66" s="2667"/>
      <c r="D66" s="2667"/>
      <c r="E66" s="2487"/>
      <c r="F66" s="2494"/>
      <c r="G66" s="2494"/>
      <c r="H66" s="2494"/>
      <c r="I66" s="2494"/>
      <c r="J66" s="2494"/>
      <c r="K66" s="2494"/>
      <c r="L66" s="2494"/>
      <c r="M66" s="2494"/>
      <c r="N66" s="2494"/>
    </row>
  </sheetData>
  <sheetProtection sheet="1" objects="1" scenarios="1"/>
  <customSheetViews>
    <customSheetView guid="{32760361-675F-4FBF-A5CA-B0597C10371F}" showGridLines="0" fitToPage="1">
      <selection activeCell="P59" sqref="P59"/>
      <pageMargins left="0.61" right="0.38" top="0.64" bottom="0.78740157480314965" header="0.51181102362204722" footer="0.31496062992125984"/>
      <printOptions horizontalCentered="1"/>
      <pageSetup paperSize="9" scale="79" orientation="portrait" r:id="rId1"/>
      <headerFooter alignWithMargins="0">
        <oddFooter xml:space="preserve">&amp;L&amp;14LEL Schwäbisch Gmünd (Abtlg. II)
LAZBW Aulendorf&amp;C&amp;14 13&amp;R&amp;12&amp;F
&amp;A </oddFooter>
      </headerFooter>
    </customSheetView>
  </customSheetViews>
  <mergeCells count="9">
    <mergeCell ref="B1:F1"/>
    <mergeCell ref="B3:N3"/>
    <mergeCell ref="L13:L14"/>
    <mergeCell ref="M13:M14"/>
    <mergeCell ref="B57:E57"/>
    <mergeCell ref="J15:M15"/>
    <mergeCell ref="L20:L21"/>
    <mergeCell ref="M20:M21"/>
    <mergeCell ref="J22:M22"/>
  </mergeCells>
  <phoneticPr fontId="0" type="noConversion"/>
  <hyperlinks>
    <hyperlink ref="B1:F1" location="Inhalt!A1:A10" display="zurück zum Inhaltsverzeichnis"/>
  </hyperlinks>
  <printOptions horizontalCentered="1"/>
  <pageMargins left="0.61" right="0.38" top="0.64" bottom="0.78740157480314965" header="0.51181102362204722" footer="0.31496062992125984"/>
  <pageSetup paperSize="9" scale="79" orientation="portrait" r:id="rId2"/>
  <headerFooter alignWithMargins="0">
    <oddFooter xml:space="preserve">&amp;L&amp;14LEL Schwäbisch Gmünd (Abtlg. II)
LAZBW Aulendorf&amp;C&amp;14 13&amp;R&amp;12&amp;F
&amp;A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B110"/>
  <sheetViews>
    <sheetView showGridLines="0" showZeros="0" zoomScale="67" zoomScaleNormal="67" zoomScaleSheetLayoutView="63" workbookViewId="0">
      <pane xSplit="2" ySplit="7" topLeftCell="C8" activePane="bottomRight" state="frozen"/>
      <selection activeCell="G1" sqref="G1"/>
      <selection pane="topRight" activeCell="G1" sqref="G1"/>
      <selection pane="bottomLeft" activeCell="G1" sqref="G1"/>
      <selection pane="bottomRight" activeCell="G1" sqref="G1"/>
    </sheetView>
  </sheetViews>
  <sheetFormatPr baseColWidth="10" defaultColWidth="11.375" defaultRowHeight="12.9" x14ac:dyDescent="0.2"/>
  <cols>
    <col min="1" max="1" width="2" style="8" customWidth="1"/>
    <col min="2" max="2" width="1.125" style="7" hidden="1" customWidth="1"/>
    <col min="3" max="3" width="4.125" style="7" customWidth="1"/>
    <col min="4" max="4" width="24" style="7" customWidth="1"/>
    <col min="5" max="5" width="10.625" style="7" customWidth="1"/>
    <col min="6" max="6" width="20.375" style="7" customWidth="1"/>
    <col min="7" max="7" width="12.375" style="7" customWidth="1"/>
    <col min="8" max="8" width="7.375" style="7" customWidth="1"/>
    <col min="9" max="12" width="7.375" style="41" customWidth="1"/>
    <col min="13" max="13" width="9.625" style="7" customWidth="1"/>
    <col min="14" max="14" width="6.375" style="7" customWidth="1"/>
    <col min="15" max="15" width="1.125" style="7" customWidth="1"/>
    <col min="16" max="16" width="4.125" style="7" customWidth="1"/>
    <col min="17" max="17" width="29.375" style="7" customWidth="1"/>
    <col min="18" max="18" width="10.625" style="7" customWidth="1"/>
    <col min="19" max="19" width="8.125" style="7" customWidth="1"/>
    <col min="20" max="20" width="7.375" style="7" customWidth="1"/>
    <col min="21" max="24" width="7.375" style="41" customWidth="1"/>
    <col min="25" max="25" width="12.5" style="7" customWidth="1"/>
    <col min="26" max="16384" width="11.375" style="8"/>
  </cols>
  <sheetData>
    <row r="1" spans="1:28" ht="26" customHeight="1" thickBot="1" x14ac:dyDescent="0.25">
      <c r="D1" s="3169" t="s">
        <v>176</v>
      </c>
      <c r="E1" s="3169"/>
      <c r="F1" s="3169"/>
      <c r="G1" s="3169"/>
      <c r="H1" s="3169"/>
    </row>
    <row r="2" spans="1:28" ht="31.25" customHeight="1" thickBot="1" x14ac:dyDescent="0.25">
      <c r="A2" s="42"/>
      <c r="C2" s="3237" t="s">
        <v>797</v>
      </c>
      <c r="D2" s="3237"/>
      <c r="E2" s="3237"/>
      <c r="F2" s="3237"/>
      <c r="G2" s="3237"/>
      <c r="H2" s="3237"/>
      <c r="I2" s="3237"/>
      <c r="J2" s="3237"/>
      <c r="K2" s="3237"/>
      <c r="L2" s="3237"/>
      <c r="M2" s="3237"/>
      <c r="N2" s="3237"/>
      <c r="O2" s="3237"/>
      <c r="P2" s="3237"/>
      <c r="Q2" s="3237"/>
      <c r="R2" s="3237"/>
      <c r="S2" s="3237"/>
      <c r="T2" s="2774"/>
      <c r="U2" s="2774"/>
      <c r="V2" s="2774"/>
      <c r="W2" s="3231" t="s">
        <v>312</v>
      </c>
      <c r="X2" s="3232"/>
      <c r="Y2" s="2376">
        <v>2018</v>
      </c>
      <c r="Z2" s="3255" t="s">
        <v>783</v>
      </c>
      <c r="AA2" s="3255"/>
      <c r="AB2" s="3255"/>
    </row>
    <row r="3" spans="1:28" ht="14.95" customHeight="1" x14ac:dyDescent="0.25">
      <c r="A3" s="42"/>
      <c r="B3" s="194"/>
      <c r="D3" s="747" t="s">
        <v>785</v>
      </c>
      <c r="E3" s="747"/>
      <c r="F3" s="747"/>
      <c r="G3" s="747"/>
      <c r="H3" s="3"/>
      <c r="I3" s="216"/>
      <c r="J3" s="2503"/>
      <c r="K3" s="747"/>
      <c r="L3" s="2504"/>
      <c r="M3" s="747"/>
      <c r="N3" s="1106"/>
      <c r="O3" s="747"/>
      <c r="P3" s="3" t="s">
        <v>796</v>
      </c>
      <c r="Q3" s="747"/>
      <c r="R3" s="747"/>
      <c r="S3" s="35"/>
      <c r="T3" s="2775"/>
      <c r="U3" s="2775"/>
      <c r="V3" s="2775"/>
      <c r="Z3" s="3255"/>
      <c r="AA3" s="3255"/>
      <c r="AB3" s="3255"/>
    </row>
    <row r="4" spans="1:28" ht="27.2" customHeight="1" x14ac:dyDescent="0.2">
      <c r="A4" s="42"/>
      <c r="B4"/>
      <c r="D4" s="3261" t="s">
        <v>866</v>
      </c>
      <c r="E4" s="3262"/>
      <c r="F4" s="3262"/>
      <c r="G4" s="3262"/>
      <c r="H4" s="3262"/>
      <c r="I4" s="3262"/>
      <c r="J4" s="3262"/>
      <c r="K4" s="3262"/>
      <c r="L4" s="3262"/>
      <c r="M4" s="3263"/>
      <c r="O4"/>
      <c r="P4" s="3261" t="s">
        <v>865</v>
      </c>
      <c r="Q4" s="3262"/>
      <c r="R4" s="3262"/>
      <c r="S4" s="3262"/>
      <c r="T4" s="3262"/>
      <c r="U4" s="3262"/>
      <c r="V4" s="3262"/>
      <c r="W4" s="3262"/>
      <c r="X4" s="3262"/>
      <c r="Y4" s="3263"/>
      <c r="Z4" s="43"/>
      <c r="AA4" s="43"/>
      <c r="AB4" s="43"/>
    </row>
    <row r="5" spans="1:28" ht="47.75" customHeight="1" x14ac:dyDescent="0.2">
      <c r="A5" s="42"/>
      <c r="B5"/>
      <c r="D5" s="3238" t="s">
        <v>1259</v>
      </c>
      <c r="E5" s="3253"/>
      <c r="F5" s="3253"/>
      <c r="G5" s="3253"/>
      <c r="H5" s="3253"/>
      <c r="I5" s="3253"/>
      <c r="J5" s="3253"/>
      <c r="K5" s="3253"/>
      <c r="L5" s="3253"/>
      <c r="M5" s="3254"/>
      <c r="O5"/>
      <c r="P5" s="3238" t="s">
        <v>1251</v>
      </c>
      <c r="Q5" s="3239"/>
      <c r="R5" s="3239"/>
      <c r="S5" s="3239"/>
      <c r="T5" s="3239"/>
      <c r="U5" s="3239"/>
      <c r="V5" s="3239"/>
      <c r="W5" s="3239"/>
      <c r="X5" s="3239"/>
      <c r="Y5" s="3240"/>
      <c r="Z5" s="43"/>
      <c r="AA5" s="43"/>
      <c r="AB5" s="43"/>
    </row>
    <row r="6" spans="1:28" ht="22.6" customHeight="1" x14ac:dyDescent="0.2">
      <c r="A6" s="634"/>
      <c r="B6" s="2105"/>
      <c r="C6" s="207" t="s">
        <v>282</v>
      </c>
      <c r="D6" s="1016"/>
      <c r="E6" s="208"/>
      <c r="F6" s="208"/>
      <c r="G6" s="2351"/>
      <c r="H6" s="2372" t="s">
        <v>782</v>
      </c>
      <c r="I6" s="3233" t="s">
        <v>767</v>
      </c>
      <c r="J6" s="3233"/>
      <c r="K6" s="3233"/>
      <c r="L6" s="3234"/>
      <c r="M6" s="2368" t="s">
        <v>310</v>
      </c>
      <c r="N6" s="166"/>
      <c r="O6" s="2371"/>
      <c r="P6" s="207" t="s">
        <v>282</v>
      </c>
      <c r="Q6" s="1016"/>
      <c r="R6" s="208"/>
      <c r="S6" s="208"/>
      <c r="T6" s="206"/>
      <c r="U6" s="209"/>
      <c r="V6" s="209"/>
      <c r="W6" s="209"/>
      <c r="X6" s="210"/>
      <c r="Y6" s="478" t="s">
        <v>310</v>
      </c>
      <c r="Z6" s="43"/>
      <c r="AA6" s="43"/>
      <c r="AB6" s="43"/>
    </row>
    <row r="7" spans="1:28" ht="19.55" customHeight="1" x14ac:dyDescent="0.2">
      <c r="A7" s="634"/>
      <c r="B7" s="2105"/>
      <c r="C7" s="74"/>
      <c r="D7" s="1017" t="s">
        <v>798</v>
      </c>
      <c r="G7" s="2373" t="s">
        <v>283</v>
      </c>
      <c r="H7" s="2372">
        <v>2014</v>
      </c>
      <c r="I7" s="63">
        <v>2015</v>
      </c>
      <c r="J7" s="63">
        <v>2016</v>
      </c>
      <c r="K7" s="63">
        <v>2017</v>
      </c>
      <c r="L7" s="63">
        <v>2018</v>
      </c>
      <c r="M7" s="2369">
        <f>Y2</f>
        <v>2018</v>
      </c>
      <c r="N7" s="166"/>
      <c r="O7" s="2371"/>
      <c r="P7" s="74"/>
      <c r="Q7" s="1017" t="s">
        <v>798</v>
      </c>
      <c r="R7" s="3235" t="s">
        <v>283</v>
      </c>
      <c r="S7" s="3236"/>
      <c r="T7" s="646">
        <v>2014</v>
      </c>
      <c r="U7" s="62">
        <v>2015</v>
      </c>
      <c r="V7" s="63">
        <v>2016</v>
      </c>
      <c r="W7" s="63">
        <v>2017</v>
      </c>
      <c r="X7" s="63">
        <v>2018</v>
      </c>
      <c r="Y7" s="474">
        <f>Y2</f>
        <v>2018</v>
      </c>
      <c r="Z7" s="43"/>
      <c r="AA7" s="43"/>
      <c r="AB7" s="43"/>
    </row>
    <row r="8" spans="1:28" s="46" customFormat="1" ht="18" customHeight="1" x14ac:dyDescent="0.2">
      <c r="A8" s="1020"/>
      <c r="B8" s="48"/>
      <c r="C8" s="2366">
        <v>1</v>
      </c>
      <c r="D8" s="2352" t="s">
        <v>778</v>
      </c>
      <c r="E8" s="2353"/>
      <c r="F8" s="2353"/>
      <c r="G8" s="2354"/>
      <c r="H8" s="2348">
        <v>190</v>
      </c>
      <c r="I8" s="3010">
        <v>230</v>
      </c>
      <c r="J8" s="201">
        <v>230</v>
      </c>
      <c r="K8" s="201">
        <v>230</v>
      </c>
      <c r="L8" s="201">
        <v>230</v>
      </c>
      <c r="M8" s="2370">
        <f t="shared" ref="M8:M15" si="0">IF($M$7=$H$6,H8,IF($M$7=$I$7,I8,IF($M$7=$J$7,J8,IF($M$7=$K$7,K8,IF($M$7=$L$7,L8,0)))))</f>
        <v>230</v>
      </c>
      <c r="N8" s="51"/>
      <c r="O8" s="2107"/>
      <c r="P8" s="2342">
        <v>1</v>
      </c>
      <c r="Q8" s="2352" t="s">
        <v>791</v>
      </c>
      <c r="R8" s="2353"/>
      <c r="S8" s="2354"/>
      <c r="T8" s="2360">
        <v>270</v>
      </c>
      <c r="U8" s="3016">
        <v>270</v>
      </c>
      <c r="V8" s="2359">
        <v>270</v>
      </c>
      <c r="W8" s="2359">
        <v>270</v>
      </c>
      <c r="X8" s="2343">
        <v>270</v>
      </c>
      <c r="Y8" s="2344">
        <f>IF($Y$7=$T$7,T8,IF($Y$7=$U$7,U8,IF($Y$7=$V$7,V8,IF($Y$7=$W$7,W8,IF($Y$7=$X$7,X8,0)))))</f>
        <v>270</v>
      </c>
    </row>
    <row r="9" spans="1:28" s="46" customFormat="1" ht="18" customHeight="1" x14ac:dyDescent="0.2">
      <c r="A9" s="1020"/>
      <c r="B9" s="48"/>
      <c r="C9" s="2367">
        <f>C8+1</f>
        <v>2</v>
      </c>
      <c r="D9" s="165" t="s">
        <v>779</v>
      </c>
      <c r="E9" s="73"/>
      <c r="F9" s="73"/>
      <c r="G9" s="2355"/>
      <c r="H9" s="2348"/>
      <c r="I9" s="3010">
        <v>350</v>
      </c>
      <c r="J9" s="201">
        <v>350</v>
      </c>
      <c r="K9" s="201">
        <v>350</v>
      </c>
      <c r="L9" s="201">
        <v>350</v>
      </c>
      <c r="M9" s="2370">
        <f t="shared" si="0"/>
        <v>350</v>
      </c>
      <c r="N9" s="51"/>
      <c r="O9" s="170"/>
      <c r="P9" s="200">
        <v>2</v>
      </c>
      <c r="Q9" s="1938" t="s">
        <v>784</v>
      </c>
      <c r="R9" s="65"/>
      <c r="S9" s="2356"/>
      <c r="T9" s="2361"/>
      <c r="U9" s="3017"/>
      <c r="V9" s="202"/>
      <c r="W9" s="202"/>
      <c r="X9" s="202"/>
      <c r="Y9" s="480">
        <f>IF($Y$7=$T$7,T9,IF($Y$7=$U$7,U9,IF($Y$7=$V$7,V9,IF($Y$7=$W$7,W9,IF($Y$7=$X$7,X9,0)))))</f>
        <v>0</v>
      </c>
    </row>
    <row r="10" spans="1:28" s="46" customFormat="1" ht="18" customHeight="1" x14ac:dyDescent="0.2">
      <c r="A10" s="1020"/>
      <c r="B10" s="48"/>
      <c r="C10" s="2367">
        <v>3</v>
      </c>
      <c r="D10" s="165" t="s">
        <v>1250</v>
      </c>
      <c r="E10" s="73"/>
      <c r="F10" s="73"/>
      <c r="G10" s="2355"/>
      <c r="H10" s="2348"/>
      <c r="I10" s="3010"/>
      <c r="J10" s="201">
        <v>50</v>
      </c>
      <c r="K10" s="201">
        <v>50</v>
      </c>
      <c r="L10" s="201">
        <v>50</v>
      </c>
      <c r="M10" s="2370">
        <f t="shared" si="0"/>
        <v>50</v>
      </c>
      <c r="N10" s="49"/>
      <c r="O10" s="49"/>
      <c r="P10" s="736" t="s">
        <v>792</v>
      </c>
      <c r="Q10" s="2364"/>
      <c r="R10" s="2364"/>
      <c r="S10" s="2364"/>
      <c r="T10" s="2358"/>
      <c r="U10" s="2348"/>
      <c r="V10" s="2348"/>
      <c r="W10" s="2348"/>
      <c r="X10" s="2348"/>
      <c r="Y10" s="2365"/>
    </row>
    <row r="11" spans="1:28" s="46" customFormat="1" ht="18" customHeight="1" thickBot="1" x14ac:dyDescent="0.35">
      <c r="A11" s="1020"/>
      <c r="B11" s="48"/>
      <c r="C11" s="2367">
        <v>4</v>
      </c>
      <c r="D11" s="165" t="s">
        <v>795</v>
      </c>
      <c r="E11" s="73"/>
      <c r="F11" s="73"/>
      <c r="G11" s="2355"/>
      <c r="H11" s="2349"/>
      <c r="I11" s="3011">
        <v>80</v>
      </c>
      <c r="J11" s="2346">
        <v>80</v>
      </c>
      <c r="K11" s="2346">
        <v>80</v>
      </c>
      <c r="L11" s="2346">
        <v>80</v>
      </c>
      <c r="M11" s="479">
        <f t="shared" si="0"/>
        <v>80</v>
      </c>
      <c r="N11"/>
      <c r="O11"/>
      <c r="P11" s="2374"/>
      <c r="Q11" s="2192"/>
      <c r="R11" s="2375"/>
      <c r="S11" s="2375"/>
      <c r="T11" s="2375"/>
      <c r="U11" s="2375"/>
      <c r="V11" s="2375"/>
      <c r="W11" s="2375"/>
      <c r="X11" s="2375"/>
      <c r="Y11" s="2375"/>
    </row>
    <row r="12" spans="1:28" s="46" customFormat="1" ht="18" customHeight="1" x14ac:dyDescent="0.2">
      <c r="A12" s="1020"/>
      <c r="B12" s="48"/>
      <c r="C12" s="2367">
        <v>5</v>
      </c>
      <c r="D12" s="165" t="s">
        <v>789</v>
      </c>
      <c r="E12" s="73"/>
      <c r="F12" s="73"/>
      <c r="G12" s="2355"/>
      <c r="H12" s="2349"/>
      <c r="I12" s="3011" t="s">
        <v>788</v>
      </c>
      <c r="J12" s="2346" t="s">
        <v>788</v>
      </c>
      <c r="K12" s="2346" t="s">
        <v>788</v>
      </c>
      <c r="L12" s="2346" t="s">
        <v>788</v>
      </c>
      <c r="M12" s="479" t="str">
        <f t="shared" si="0"/>
        <v>40 €/GV</v>
      </c>
      <c r="N12"/>
      <c r="O12"/>
      <c r="P12" s="3018" t="s">
        <v>1234</v>
      </c>
      <c r="Q12" s="3019"/>
      <c r="R12" s="3019"/>
      <c r="S12" s="3019"/>
      <c r="T12" s="3019"/>
      <c r="U12" s="3019"/>
      <c r="V12" s="3019"/>
      <c r="W12" s="3019"/>
      <c r="X12" s="3019"/>
      <c r="Y12" s="3020"/>
    </row>
    <row r="13" spans="1:28" s="46" customFormat="1" ht="18" customHeight="1" x14ac:dyDescent="0.2">
      <c r="A13" s="1020"/>
      <c r="B13" s="48"/>
      <c r="C13" s="2367">
        <v>6</v>
      </c>
      <c r="D13" s="165"/>
      <c r="E13" s="73"/>
      <c r="F13" s="73"/>
      <c r="G13" s="2355"/>
      <c r="H13" s="2348"/>
      <c r="I13" s="3010"/>
      <c r="J13" s="201"/>
      <c r="K13" s="201"/>
      <c r="L13" s="201"/>
      <c r="M13" s="479">
        <f t="shared" si="0"/>
        <v>0</v>
      </c>
      <c r="N13"/>
      <c r="O13"/>
      <c r="P13" s="3256" t="s">
        <v>790</v>
      </c>
      <c r="Q13" s="3257"/>
      <c r="R13" s="3257"/>
      <c r="S13" s="3257"/>
      <c r="T13" s="3257"/>
      <c r="U13" s="3257"/>
      <c r="V13" s="3021"/>
      <c r="W13" s="3021"/>
      <c r="X13" s="3021"/>
      <c r="Y13" s="3022"/>
    </row>
    <row r="14" spans="1:28" s="46" customFormat="1" ht="18" customHeight="1" x14ac:dyDescent="0.2">
      <c r="A14" s="1020"/>
      <c r="B14" s="48"/>
      <c r="C14" s="2367">
        <v>7</v>
      </c>
      <c r="D14" s="165" t="s">
        <v>780</v>
      </c>
      <c r="E14" s="73"/>
      <c r="F14" s="73"/>
      <c r="G14" s="2355"/>
      <c r="H14" s="2348"/>
      <c r="I14" s="3010">
        <v>70</v>
      </c>
      <c r="J14" s="201">
        <v>70</v>
      </c>
      <c r="K14" s="201">
        <v>70</v>
      </c>
      <c r="L14" s="201">
        <v>70</v>
      </c>
      <c r="M14" s="479">
        <f t="shared" si="0"/>
        <v>70</v>
      </c>
      <c r="N14"/>
      <c r="O14"/>
      <c r="P14" s="3023"/>
      <c r="Q14" s="3021"/>
      <c r="R14" s="3021"/>
      <c r="S14" s="3021"/>
      <c r="T14" s="3021"/>
      <c r="U14" s="3021"/>
      <c r="V14" s="3021"/>
      <c r="W14" s="3021"/>
      <c r="X14" s="3021"/>
      <c r="Y14" s="3022"/>
    </row>
    <row r="15" spans="1:28" s="46" customFormat="1" ht="18" customHeight="1" x14ac:dyDescent="0.2">
      <c r="A15" s="1020"/>
      <c r="B15" s="48"/>
      <c r="C15" s="2367">
        <v>8</v>
      </c>
      <c r="D15" s="165" t="s">
        <v>781</v>
      </c>
      <c r="E15" s="73"/>
      <c r="F15" s="73"/>
      <c r="G15" s="2355"/>
      <c r="H15" s="2348"/>
      <c r="I15" s="3010">
        <v>90</v>
      </c>
      <c r="J15" s="201">
        <v>90</v>
      </c>
      <c r="K15" s="201">
        <v>90</v>
      </c>
      <c r="L15" s="201">
        <v>90</v>
      </c>
      <c r="M15" s="479">
        <f t="shared" si="0"/>
        <v>90</v>
      </c>
      <c r="N15"/>
      <c r="O15"/>
      <c r="P15" s="3258" t="s">
        <v>1235</v>
      </c>
      <c r="Q15" s="3259"/>
      <c r="R15" s="3259"/>
      <c r="S15" s="3259"/>
      <c r="T15" s="3259"/>
      <c r="U15" s="3259"/>
      <c r="V15" s="3259"/>
      <c r="W15" s="3259"/>
      <c r="X15" s="3259"/>
      <c r="Y15" s="3260"/>
    </row>
    <row r="16" spans="1:28" s="50" customFormat="1" ht="18" customHeight="1" x14ac:dyDescent="0.2">
      <c r="A16" s="49"/>
      <c r="B16" s="49"/>
      <c r="C16" s="2367">
        <v>9</v>
      </c>
      <c r="D16" s="165" t="s">
        <v>772</v>
      </c>
      <c r="E16" s="73"/>
      <c r="F16" s="73"/>
      <c r="G16" s="2355"/>
      <c r="H16" s="2349"/>
      <c r="I16" s="3011">
        <v>710</v>
      </c>
      <c r="J16" s="2346">
        <v>710</v>
      </c>
      <c r="K16" s="2346">
        <v>710</v>
      </c>
      <c r="L16" s="2346">
        <v>710</v>
      </c>
      <c r="M16" s="479">
        <f t="shared" ref="M16:M21" si="1">IF($M$7=$H$6,H16,IF($M$7=$I$7,I16,IF($M$7=$J$7,J16,IF($M$7=$K$7,K16,IF($M$7=$L$7,L16,0)))))</f>
        <v>710</v>
      </c>
      <c r="N16"/>
      <c r="O16"/>
      <c r="P16" s="3258"/>
      <c r="Q16" s="3259"/>
      <c r="R16" s="3259"/>
      <c r="S16" s="3259"/>
      <c r="T16" s="3259"/>
      <c r="U16" s="3259"/>
      <c r="V16" s="3259"/>
      <c r="W16" s="3259"/>
      <c r="X16" s="3259"/>
      <c r="Y16" s="3260"/>
    </row>
    <row r="17" spans="1:26" s="50" customFormat="1" ht="18" customHeight="1" x14ac:dyDescent="0.2">
      <c r="A17" s="49"/>
      <c r="B17" s="49"/>
      <c r="C17" s="2367">
        <v>10</v>
      </c>
      <c r="D17" s="2345" t="s">
        <v>768</v>
      </c>
      <c r="E17" s="73"/>
      <c r="F17" s="73"/>
      <c r="G17" s="2355"/>
      <c r="H17" s="2349"/>
      <c r="I17" s="3011">
        <v>230</v>
      </c>
      <c r="J17" s="2346">
        <v>230</v>
      </c>
      <c r="K17" s="2346">
        <v>230</v>
      </c>
      <c r="L17" s="2346">
        <v>230</v>
      </c>
      <c r="M17" s="2347">
        <f t="shared" si="1"/>
        <v>230</v>
      </c>
      <c r="N17"/>
      <c r="O17"/>
      <c r="P17" s="3241" t="s">
        <v>787</v>
      </c>
      <c r="Q17" s="3242"/>
      <c r="R17" s="3242"/>
      <c r="S17" s="3242"/>
      <c r="T17" s="3242"/>
      <c r="U17" s="3242"/>
      <c r="V17" s="3242"/>
      <c r="W17" s="3242"/>
      <c r="X17" s="3242"/>
      <c r="Y17" s="3243"/>
    </row>
    <row r="18" spans="1:26" s="50" customFormat="1" ht="18" customHeight="1" thickBot="1" x14ac:dyDescent="0.25">
      <c r="A18" s="49"/>
      <c r="B18" s="49"/>
      <c r="C18" s="2367">
        <v>11</v>
      </c>
      <c r="D18" s="2345" t="s">
        <v>770</v>
      </c>
      <c r="E18" s="73"/>
      <c r="F18" s="73"/>
      <c r="G18" s="2355"/>
      <c r="H18" s="2349"/>
      <c r="I18" s="3011">
        <v>260</v>
      </c>
      <c r="J18" s="2346">
        <v>260</v>
      </c>
      <c r="K18" s="2346">
        <v>260</v>
      </c>
      <c r="L18" s="2346">
        <v>260</v>
      </c>
      <c r="M18" s="2347">
        <f t="shared" si="1"/>
        <v>260</v>
      </c>
      <c r="N18" s="49"/>
      <c r="O18"/>
      <c r="P18" s="3244"/>
      <c r="Q18" s="3245"/>
      <c r="R18" s="3245"/>
      <c r="S18" s="3245"/>
      <c r="T18" s="3245"/>
      <c r="U18" s="3245"/>
      <c r="V18" s="3245"/>
      <c r="W18" s="3245"/>
      <c r="X18" s="3245"/>
      <c r="Y18" s="3246"/>
    </row>
    <row r="19" spans="1:26" s="50" customFormat="1" ht="18" customHeight="1" x14ac:dyDescent="0.2">
      <c r="A19" s="49"/>
      <c r="B19" s="78"/>
      <c r="C19" s="2367">
        <v>12</v>
      </c>
      <c r="D19" s="2345" t="s">
        <v>769</v>
      </c>
      <c r="E19" s="73"/>
      <c r="F19" s="73"/>
      <c r="G19" s="2355"/>
      <c r="H19" s="2349"/>
      <c r="I19" s="3011">
        <v>280</v>
      </c>
      <c r="J19" s="2346">
        <v>280</v>
      </c>
      <c r="K19" s="2346">
        <v>280</v>
      </c>
      <c r="L19" s="2346">
        <v>280</v>
      </c>
      <c r="M19" s="2347">
        <f t="shared" si="1"/>
        <v>280</v>
      </c>
      <c r="O19" s="1144"/>
      <c r="P19"/>
      <c r="Q19"/>
      <c r="R19"/>
      <c r="S19"/>
      <c r="T19"/>
      <c r="U19"/>
      <c r="V19"/>
      <c r="W19"/>
      <c r="X19"/>
      <c r="Y19"/>
    </row>
    <row r="20" spans="1:26" s="50" customFormat="1" ht="17.7" customHeight="1" x14ac:dyDescent="0.2">
      <c r="A20" s="49"/>
      <c r="B20" s="78"/>
      <c r="C20" s="2367">
        <v>13</v>
      </c>
      <c r="D20" s="2345" t="s">
        <v>771</v>
      </c>
      <c r="E20" s="73"/>
      <c r="F20" s="73"/>
      <c r="G20" s="2355"/>
      <c r="H20" s="2349"/>
      <c r="I20" s="3011">
        <v>280</v>
      </c>
      <c r="J20" s="201">
        <v>280</v>
      </c>
      <c r="K20" s="201">
        <v>280</v>
      </c>
      <c r="L20" s="201">
        <v>280</v>
      </c>
      <c r="M20" s="479">
        <f t="shared" si="1"/>
        <v>280</v>
      </c>
      <c r="N20" s="49"/>
      <c r="O20" s="1144"/>
    </row>
    <row r="21" spans="1:26" s="50" customFormat="1" ht="18" customHeight="1" x14ac:dyDescent="0.3">
      <c r="A21" s="49"/>
      <c r="B21" s="78"/>
      <c r="C21" s="2367">
        <v>14</v>
      </c>
      <c r="D21" s="2345" t="s">
        <v>773</v>
      </c>
      <c r="E21" s="73"/>
      <c r="F21" s="73"/>
      <c r="G21" s="2355"/>
      <c r="H21" s="2349"/>
      <c r="I21" s="3011">
        <v>50</v>
      </c>
      <c r="J21" s="2346">
        <v>50</v>
      </c>
      <c r="K21" s="2346">
        <v>50</v>
      </c>
      <c r="L21" s="2346">
        <v>50</v>
      </c>
      <c r="M21" s="2347">
        <f t="shared" si="1"/>
        <v>50</v>
      </c>
      <c r="N21"/>
      <c r="O21" s="1144"/>
      <c r="P21" s="736" t="s">
        <v>786</v>
      </c>
      <c r="Q21" s="2192"/>
      <c r="R21" s="2549"/>
      <c r="S21" s="2549"/>
      <c r="T21" s="2549"/>
      <c r="U21" s="2549"/>
      <c r="V21" s="2549"/>
      <c r="W21" s="2549"/>
    </row>
    <row r="22" spans="1:26" s="50" customFormat="1" ht="18" customHeight="1" x14ac:dyDescent="0.2">
      <c r="A22" s="49"/>
      <c r="B22" s="78"/>
      <c r="C22" s="2367">
        <v>15</v>
      </c>
      <c r="D22" s="165"/>
      <c r="E22" s="73"/>
      <c r="F22" s="73"/>
      <c r="G22" s="2355"/>
      <c r="H22" s="2348"/>
      <c r="I22" s="3010"/>
      <c r="J22" s="201"/>
      <c r="K22" s="201"/>
      <c r="L22" s="201"/>
      <c r="M22" s="479">
        <f t="shared" ref="M22:M29" si="2">IF($M$7=$H$6,H22,IF($M$7=$I$7,I22,IF($M$7=$J$7,J22,IF($M$7=$K$7,K22,IF($M$7=$L$7,L22,0)))))</f>
        <v>0</v>
      </c>
      <c r="N22"/>
      <c r="O22"/>
      <c r="P22" s="736" t="s">
        <v>793</v>
      </c>
      <c r="Q22" s="2549"/>
      <c r="R22" s="2549"/>
      <c r="S22" s="2549"/>
      <c r="T22" s="2549"/>
      <c r="U22" s="2549"/>
      <c r="V22" s="2549"/>
      <c r="W22" s="2549"/>
    </row>
    <row r="23" spans="1:26" s="50" customFormat="1" ht="18" customHeight="1" x14ac:dyDescent="0.3">
      <c r="A23" s="49"/>
      <c r="B23" s="78"/>
      <c r="C23" s="2367">
        <v>16</v>
      </c>
      <c r="D23" s="3250" t="s">
        <v>905</v>
      </c>
      <c r="E23" s="3251"/>
      <c r="F23" s="3251"/>
      <c r="G23" s="3252"/>
      <c r="H23" s="2348"/>
      <c r="I23" s="3010">
        <v>100</v>
      </c>
      <c r="J23" s="201">
        <v>100</v>
      </c>
      <c r="K23" s="201">
        <v>100</v>
      </c>
      <c r="L23" s="201">
        <v>100</v>
      </c>
      <c r="M23" s="479">
        <f t="shared" si="2"/>
        <v>100</v>
      </c>
      <c r="N23"/>
      <c r="O23"/>
      <c r="P23" s="747" t="s">
        <v>799</v>
      </c>
      <c r="Q23" s="2549"/>
      <c r="R23" s="2549"/>
      <c r="S23" s="2549"/>
      <c r="T23" s="2549"/>
      <c r="U23" s="2549"/>
      <c r="V23" s="2549"/>
      <c r="W23" s="2549"/>
    </row>
    <row r="24" spans="1:26" s="50" customFormat="1" ht="18" customHeight="1" x14ac:dyDescent="0.2">
      <c r="A24" s="49"/>
      <c r="B24" s="78"/>
      <c r="C24" s="2367">
        <v>17</v>
      </c>
      <c r="D24" s="165" t="s">
        <v>906</v>
      </c>
      <c r="E24" s="73"/>
      <c r="F24" s="73"/>
      <c r="G24" s="2355"/>
      <c r="H24" s="2348"/>
      <c r="I24" s="3010">
        <v>120</v>
      </c>
      <c r="J24" s="201">
        <v>120</v>
      </c>
      <c r="K24" s="201">
        <v>120</v>
      </c>
      <c r="L24" s="201">
        <v>120</v>
      </c>
      <c r="M24" s="479">
        <f t="shared" si="2"/>
        <v>120</v>
      </c>
      <c r="N24"/>
      <c r="O24"/>
      <c r="P24" s="2549"/>
      <c r="Q24" s="736" t="s">
        <v>794</v>
      </c>
      <c r="R24" s="2549"/>
      <c r="S24" s="2549"/>
      <c r="T24" s="2549"/>
      <c r="U24" s="2549"/>
      <c r="V24" s="2549"/>
      <c r="W24" s="2549"/>
    </row>
    <row r="25" spans="1:26" s="50" customFormat="1" ht="18" customHeight="1" thickBot="1" x14ac:dyDescent="0.25">
      <c r="A25" s="49"/>
      <c r="B25" s="78"/>
      <c r="C25" s="2367">
        <v>18</v>
      </c>
      <c r="D25" s="165"/>
      <c r="E25" s="73"/>
      <c r="F25" s="73"/>
      <c r="G25" s="2355"/>
      <c r="H25" s="2362"/>
      <c r="I25" s="3011"/>
      <c r="J25" s="2363"/>
      <c r="K25" s="2363"/>
      <c r="L25" s="2363"/>
      <c r="M25" s="479">
        <f t="shared" si="2"/>
        <v>0</v>
      </c>
      <c r="N25" s="49"/>
      <c r="O25"/>
      <c r="P25" s="736" t="s">
        <v>907</v>
      </c>
      <c r="Q25" s="2549"/>
      <c r="R25" s="2549"/>
      <c r="S25" s="2549"/>
      <c r="T25" s="2549"/>
      <c r="U25" s="2549"/>
      <c r="V25" s="2549"/>
      <c r="W25" s="2549"/>
    </row>
    <row r="26" spans="1:26" s="50" customFormat="1" ht="18" customHeight="1" x14ac:dyDescent="0.2">
      <c r="A26" s="49"/>
      <c r="B26" s="78"/>
      <c r="C26" s="2367">
        <v>19</v>
      </c>
      <c r="D26" s="165" t="s">
        <v>777</v>
      </c>
      <c r="E26" s="73"/>
      <c r="F26" s="73"/>
      <c r="G26" s="2355"/>
      <c r="H26" s="2348"/>
      <c r="I26" s="3010">
        <v>550</v>
      </c>
      <c r="J26" s="201">
        <v>550</v>
      </c>
      <c r="K26" s="201">
        <v>550</v>
      </c>
      <c r="L26" s="201">
        <v>550</v>
      </c>
      <c r="M26" s="479">
        <f t="shared" si="2"/>
        <v>550</v>
      </c>
      <c r="N26" s="49"/>
      <c r="O26"/>
      <c r="P26" s="3247" t="s">
        <v>1018</v>
      </c>
      <c r="Q26" s="3248"/>
      <c r="R26" s="3248"/>
      <c r="S26" s="3249"/>
      <c r="T26" s="2760" t="s">
        <v>1019</v>
      </c>
      <c r="U26" s="2761"/>
      <c r="V26" s="2761"/>
      <c r="W26" s="2129"/>
      <c r="X26" s="2129"/>
      <c r="Y26" s="2762"/>
    </row>
    <row r="27" spans="1:26" s="50" customFormat="1" ht="18" customHeight="1" x14ac:dyDescent="0.25">
      <c r="A27" s="49"/>
      <c r="B27" s="78"/>
      <c r="C27" s="2367">
        <v>20</v>
      </c>
      <c r="D27" s="73" t="s">
        <v>774</v>
      </c>
      <c r="E27" s="73"/>
      <c r="F27" s="73"/>
      <c r="G27" s="2355"/>
      <c r="H27" s="2348"/>
      <c r="I27" s="3010">
        <v>750</v>
      </c>
      <c r="J27" s="201">
        <v>750</v>
      </c>
      <c r="K27" s="201">
        <v>750</v>
      </c>
      <c r="L27" s="201">
        <v>750</v>
      </c>
      <c r="M27" s="479">
        <f t="shared" si="2"/>
        <v>750</v>
      </c>
      <c r="N27" s="49"/>
      <c r="O27"/>
      <c r="P27" s="2763" t="s">
        <v>613</v>
      </c>
      <c r="Q27" s="2722"/>
      <c r="R27" s="2722"/>
      <c r="S27" s="2726" t="s">
        <v>995</v>
      </c>
      <c r="T27" s="1382" t="s">
        <v>1006</v>
      </c>
      <c r="U27" s="1383"/>
      <c r="V27" s="199"/>
      <c r="W27" s="199"/>
      <c r="X27" s="3"/>
      <c r="Y27" s="2764"/>
    </row>
    <row r="28" spans="1:26" s="50" customFormat="1" ht="18" customHeight="1" x14ac:dyDescent="0.25">
      <c r="A28" s="49"/>
      <c r="B28" s="78"/>
      <c r="C28" s="2367">
        <v>21</v>
      </c>
      <c r="D28" s="73" t="s">
        <v>775</v>
      </c>
      <c r="E28" s="73"/>
      <c r="F28" s="73"/>
      <c r="G28" s="2355"/>
      <c r="H28" s="2348"/>
      <c r="I28" s="3010">
        <v>935</v>
      </c>
      <c r="J28" s="201">
        <v>935</v>
      </c>
      <c r="K28" s="201">
        <v>935</v>
      </c>
      <c r="L28" s="201">
        <v>935</v>
      </c>
      <c r="M28" s="479">
        <f t="shared" si="2"/>
        <v>935</v>
      </c>
      <c r="N28" s="49"/>
      <c r="O28"/>
      <c r="P28" s="2763" t="s">
        <v>614</v>
      </c>
      <c r="Q28" s="2722"/>
      <c r="R28" s="2722"/>
      <c r="S28" s="2726" t="s">
        <v>996</v>
      </c>
      <c r="T28" s="2727" t="s">
        <v>1007</v>
      </c>
      <c r="U28" s="1035"/>
      <c r="V28" s="1035"/>
      <c r="W28" s="1035"/>
      <c r="X28" s="1035"/>
      <c r="Y28" s="2765" t="s">
        <v>1008</v>
      </c>
    </row>
    <row r="29" spans="1:26" s="50" customFormat="1" ht="18" customHeight="1" x14ac:dyDescent="0.25">
      <c r="A29" s="49"/>
      <c r="B29" s="78"/>
      <c r="C29" s="2367">
        <v>22</v>
      </c>
      <c r="D29" s="65" t="s">
        <v>776</v>
      </c>
      <c r="E29" s="65"/>
      <c r="F29" s="65"/>
      <c r="G29" s="2356"/>
      <c r="H29" s="2350"/>
      <c r="I29" s="3012">
        <v>1275</v>
      </c>
      <c r="J29" s="202">
        <v>1275</v>
      </c>
      <c r="K29" s="202">
        <v>1275</v>
      </c>
      <c r="L29" s="202">
        <v>1275</v>
      </c>
      <c r="M29" s="480">
        <f t="shared" si="2"/>
        <v>1275</v>
      </c>
      <c r="N29" s="49"/>
      <c r="O29"/>
      <c r="P29" s="2763" t="s">
        <v>615</v>
      </c>
      <c r="Q29" s="2722"/>
      <c r="R29" s="2722"/>
      <c r="S29" s="2726" t="s">
        <v>997</v>
      </c>
      <c r="T29" s="2727" t="s">
        <v>1009</v>
      </c>
      <c r="U29" s="1035"/>
      <c r="V29" s="1035"/>
      <c r="W29" s="1035"/>
      <c r="X29" s="1035"/>
      <c r="Y29" s="2765" t="s">
        <v>1010</v>
      </c>
    </row>
    <row r="30" spans="1:26" s="50" customFormat="1" ht="26" customHeight="1" x14ac:dyDescent="0.25">
      <c r="A30" s="49"/>
      <c r="B30" s="78"/>
      <c r="C30" s="2367">
        <f>C29+1</f>
        <v>23</v>
      </c>
      <c r="D30" s="2506" t="s">
        <v>800</v>
      </c>
      <c r="E30" s="2505"/>
      <c r="F30" s="2505"/>
      <c r="G30" s="2505"/>
      <c r="H30" s="2505"/>
      <c r="I30" s="2505"/>
      <c r="J30" s="2505"/>
      <c r="K30" s="2505"/>
      <c r="L30" s="2505"/>
      <c r="M30" s="2507"/>
      <c r="N30" s="49"/>
      <c r="O30"/>
      <c r="P30" s="2763" t="s">
        <v>616</v>
      </c>
      <c r="Q30" s="2722"/>
      <c r="R30" s="2722"/>
      <c r="S30" s="2726" t="s">
        <v>998</v>
      </c>
      <c r="T30" s="2727" t="s">
        <v>1011</v>
      </c>
      <c r="U30" s="1035"/>
      <c r="V30" s="1035"/>
      <c r="W30" s="1035"/>
      <c r="X30" s="1035"/>
      <c r="Y30" s="2765" t="s">
        <v>1012</v>
      </c>
      <c r="Z30" s="3"/>
    </row>
    <row r="31" spans="1:26" s="50" customFormat="1" ht="18" customHeight="1" x14ac:dyDescent="0.25">
      <c r="A31" s="49"/>
      <c r="B31" s="78"/>
      <c r="C31" s="2367">
        <f t="shared" ref="C31:C37" si="3">C30+1</f>
        <v>24</v>
      </c>
      <c r="D31" s="2732" t="s">
        <v>1020</v>
      </c>
      <c r="E31" s="2728"/>
      <c r="F31" s="2728"/>
      <c r="G31" s="2729"/>
      <c r="H31" s="2733"/>
      <c r="I31" s="3013">
        <v>80</v>
      </c>
      <c r="J31" s="2734">
        <v>80</v>
      </c>
      <c r="K31" s="2734">
        <v>80</v>
      </c>
      <c r="L31" s="2734">
        <v>80</v>
      </c>
      <c r="M31" s="2344">
        <f t="shared" ref="M31:M36" si="4">IF($M$7=$H$6,H31,IF($M$7=$I$7,I31,IF($M$7=$J$7,J31,IF($M$7=$K$7,K31,IF($M$7=$L$7,L31,0)))))</f>
        <v>80</v>
      </c>
      <c r="N31" s="49"/>
      <c r="O31"/>
      <c r="P31" s="2763" t="s">
        <v>617</v>
      </c>
      <c r="Q31" s="2722"/>
      <c r="R31" s="2724"/>
      <c r="S31" s="2726" t="s">
        <v>999</v>
      </c>
      <c r="T31" s="2727" t="s">
        <v>1013</v>
      </c>
      <c r="U31" s="1035"/>
      <c r="V31" s="1035"/>
      <c r="W31" s="1035"/>
      <c r="X31" s="1035"/>
      <c r="Y31" s="2765" t="s">
        <v>1014</v>
      </c>
      <c r="Z31" s="3"/>
    </row>
    <row r="32" spans="1:26" s="50" customFormat="1" ht="18" customHeight="1" x14ac:dyDescent="0.25">
      <c r="A32" s="49"/>
      <c r="B32" s="78"/>
      <c r="C32" s="2367">
        <f t="shared" si="3"/>
        <v>25</v>
      </c>
      <c r="D32" s="2735" t="s">
        <v>1021</v>
      </c>
      <c r="E32" s="2730"/>
      <c r="F32" s="2730"/>
      <c r="G32" s="2731"/>
      <c r="H32" s="2736"/>
      <c r="I32" s="3014">
        <v>60</v>
      </c>
      <c r="J32" s="2737">
        <v>60</v>
      </c>
      <c r="K32" s="2737">
        <v>60</v>
      </c>
      <c r="L32" s="2737">
        <v>60</v>
      </c>
      <c r="M32" s="479">
        <f t="shared" si="4"/>
        <v>60</v>
      </c>
      <c r="N32" s="49"/>
      <c r="O32"/>
      <c r="P32" s="2763" t="s">
        <v>618</v>
      </c>
      <c r="Q32" s="2722"/>
      <c r="R32" s="2724"/>
      <c r="S32" s="2726" t="s">
        <v>1000</v>
      </c>
      <c r="T32" s="2727" t="s">
        <v>1015</v>
      </c>
      <c r="U32" s="1035"/>
      <c r="V32" s="1035"/>
      <c r="W32" s="1035"/>
      <c r="X32" s="1035"/>
      <c r="Y32" s="2765" t="s">
        <v>199</v>
      </c>
      <c r="Z32" s="3"/>
    </row>
    <row r="33" spans="1:28" s="50" customFormat="1" ht="18" customHeight="1" x14ac:dyDescent="0.25">
      <c r="A33" s="49"/>
      <c r="B33" s="78"/>
      <c r="C33" s="2367">
        <f t="shared" si="3"/>
        <v>26</v>
      </c>
      <c r="D33" s="2735" t="s">
        <v>1022</v>
      </c>
      <c r="E33" s="2730"/>
      <c r="F33" s="2730"/>
      <c r="G33" s="2731"/>
      <c r="H33" s="2736"/>
      <c r="I33" s="3014">
        <v>40</v>
      </c>
      <c r="J33" s="2737">
        <v>40</v>
      </c>
      <c r="K33" s="2737">
        <v>40</v>
      </c>
      <c r="L33" s="2737">
        <v>40</v>
      </c>
      <c r="M33" s="479">
        <f t="shared" si="4"/>
        <v>40</v>
      </c>
      <c r="N33" s="49"/>
      <c r="O33"/>
      <c r="P33" s="2766" t="s">
        <v>619</v>
      </c>
      <c r="Q33" s="2725"/>
      <c r="R33" s="2722"/>
      <c r="S33" s="2726" t="s">
        <v>1001</v>
      </c>
      <c r="T33" s="2723"/>
      <c r="U33" s="3"/>
      <c r="V33" s="3"/>
      <c r="W33" s="3"/>
      <c r="X33" s="3"/>
      <c r="Y33" s="2764"/>
      <c r="Z33" s="3"/>
    </row>
    <row r="34" spans="1:28" s="50" customFormat="1" ht="18" customHeight="1" x14ac:dyDescent="0.25">
      <c r="A34" s="49"/>
      <c r="B34" s="78"/>
      <c r="C34" s="2367">
        <f t="shared" si="3"/>
        <v>27</v>
      </c>
      <c r="D34" s="2735" t="s">
        <v>1023</v>
      </c>
      <c r="E34" s="2730"/>
      <c r="F34" s="2730"/>
      <c r="G34" s="2731"/>
      <c r="H34" s="2738"/>
      <c r="I34" s="3014">
        <v>120</v>
      </c>
      <c r="J34" s="2737">
        <v>120</v>
      </c>
      <c r="K34" s="2737">
        <v>120</v>
      </c>
      <c r="L34" s="2737">
        <v>120</v>
      </c>
      <c r="M34" s="479">
        <f t="shared" si="4"/>
        <v>120</v>
      </c>
      <c r="N34" s="49"/>
      <c r="O34"/>
      <c r="P34" s="2766" t="s">
        <v>620</v>
      </c>
      <c r="Q34" s="2725"/>
      <c r="R34" s="2722"/>
      <c r="S34" s="2726" t="s">
        <v>1002</v>
      </c>
      <c r="T34" s="1382" t="s">
        <v>1016</v>
      </c>
      <c r="U34" s="1383"/>
      <c r="V34" s="1383"/>
      <c r="W34" s="1383"/>
      <c r="X34" s="1383"/>
      <c r="Y34" s="2765" t="s">
        <v>199</v>
      </c>
      <c r="Z34" s="1035"/>
    </row>
    <row r="35" spans="1:28" s="50" customFormat="1" ht="18" customHeight="1" x14ac:dyDescent="0.25">
      <c r="A35" s="49"/>
      <c r="B35" s="78"/>
      <c r="C35" s="2367">
        <f t="shared" si="3"/>
        <v>28</v>
      </c>
      <c r="D35" s="2735" t="s">
        <v>1024</v>
      </c>
      <c r="E35" s="2730"/>
      <c r="F35" s="2730"/>
      <c r="G35" s="2731"/>
      <c r="H35" s="2738"/>
      <c r="I35" s="3015">
        <v>100</v>
      </c>
      <c r="J35" s="2739">
        <v>100</v>
      </c>
      <c r="K35" s="2739">
        <v>100</v>
      </c>
      <c r="L35" s="2739">
        <v>100</v>
      </c>
      <c r="M35" s="479">
        <f t="shared" si="4"/>
        <v>100</v>
      </c>
      <c r="N35" s="49"/>
      <c r="O35"/>
      <c r="P35" s="2763" t="s">
        <v>621</v>
      </c>
      <c r="Q35" s="2725"/>
      <c r="R35" s="2722"/>
      <c r="S35" s="2726" t="s">
        <v>1003</v>
      </c>
      <c r="T35" s="2723"/>
      <c r="U35" s="3"/>
      <c r="V35" s="3"/>
      <c r="W35" s="3"/>
      <c r="X35" s="3"/>
      <c r="Y35" s="2767"/>
      <c r="Z35" s="3"/>
    </row>
    <row r="36" spans="1:28" s="50" customFormat="1" ht="18" customHeight="1" x14ac:dyDescent="0.25">
      <c r="A36" s="49"/>
      <c r="B36" s="78"/>
      <c r="C36" s="2367">
        <f t="shared" si="3"/>
        <v>29</v>
      </c>
      <c r="D36" s="2735" t="s">
        <v>1025</v>
      </c>
      <c r="E36" s="2730"/>
      <c r="F36" s="2730"/>
      <c r="G36" s="2731"/>
      <c r="H36" s="2738"/>
      <c r="I36" s="3015">
        <v>25</v>
      </c>
      <c r="J36" s="2739">
        <v>25</v>
      </c>
      <c r="K36" s="2739">
        <v>25</v>
      </c>
      <c r="L36" s="2739">
        <v>25</v>
      </c>
      <c r="M36" s="479">
        <f t="shared" si="4"/>
        <v>25</v>
      </c>
      <c r="N36" s="49"/>
      <c r="O36"/>
      <c r="P36" s="2763" t="s">
        <v>622</v>
      </c>
      <c r="Q36" s="2725"/>
      <c r="R36" s="2722"/>
      <c r="S36" s="2726" t="s">
        <v>1004</v>
      </c>
      <c r="T36" s="1382" t="s">
        <v>4</v>
      </c>
      <c r="U36" s="1383"/>
      <c r="V36" s="1383"/>
      <c r="W36" s="1383"/>
      <c r="X36" s="1035"/>
      <c r="Y36" s="2765" t="s">
        <v>1017</v>
      </c>
      <c r="Z36" s="1035"/>
    </row>
    <row r="37" spans="1:28" s="50" customFormat="1" ht="18" customHeight="1" thickBot="1" x14ac:dyDescent="0.3">
      <c r="A37" s="49"/>
      <c r="B37" s="78"/>
      <c r="C37" s="2367">
        <f t="shared" si="3"/>
        <v>30</v>
      </c>
      <c r="D37" s="1938"/>
      <c r="E37" s="65"/>
      <c r="F37" s="65"/>
      <c r="G37" s="2356"/>
      <c r="H37" s="2350"/>
      <c r="I37" s="3012"/>
      <c r="J37" s="202"/>
      <c r="K37" s="202"/>
      <c r="L37" s="2357"/>
      <c r="M37" s="480"/>
      <c r="N37" s="49"/>
      <c r="O37"/>
      <c r="P37" s="2768" t="s">
        <v>623</v>
      </c>
      <c r="Q37" s="2769"/>
      <c r="R37" s="2770"/>
      <c r="S37" s="2771" t="s">
        <v>1005</v>
      </c>
      <c r="T37" s="2772"/>
      <c r="U37" s="1045"/>
      <c r="V37" s="1045"/>
      <c r="W37" s="1045"/>
      <c r="X37" s="1045"/>
      <c r="Y37" s="2773"/>
      <c r="Z37" s="3"/>
    </row>
    <row r="38" spans="1:28" s="50" customFormat="1" ht="18" customHeight="1" x14ac:dyDescent="0.2">
      <c r="A38" s="49"/>
      <c r="B38" s="163"/>
      <c r="C38" s="1144"/>
      <c r="D38" s="2213"/>
      <c r="E38"/>
      <c r="F38"/>
      <c r="G38"/>
      <c r="H38"/>
      <c r="I38"/>
      <c r="J38"/>
      <c r="K38"/>
      <c r="L38"/>
      <c r="N38"/>
      <c r="O38"/>
      <c r="Z38" s="3"/>
    </row>
    <row r="39" spans="1:28" s="50" customFormat="1" ht="18" customHeight="1" x14ac:dyDescent="0.2">
      <c r="A39" s="49"/>
      <c r="B39" s="163"/>
      <c r="C39" s="1144"/>
      <c r="D39" s="1145"/>
      <c r="E39"/>
      <c r="F39"/>
      <c r="G39"/>
      <c r="H39"/>
      <c r="I39"/>
      <c r="J39"/>
      <c r="K39"/>
      <c r="L39"/>
      <c r="N39"/>
      <c r="O39"/>
      <c r="Z39"/>
    </row>
    <row r="40" spans="1:28" s="50" customFormat="1" ht="18" customHeight="1" x14ac:dyDescent="0.3">
      <c r="A40" s="49"/>
      <c r="B40" s="163"/>
      <c r="C40" s="1146"/>
      <c r="D40" s="2213"/>
      <c r="E40"/>
      <c r="F40"/>
      <c r="G40"/>
      <c r="H40"/>
      <c r="I40"/>
      <c r="J40"/>
      <c r="K40"/>
      <c r="L40"/>
      <c r="N40"/>
      <c r="O40"/>
      <c r="Z40"/>
    </row>
    <row r="41" spans="1:28" s="50" customFormat="1" ht="18" customHeight="1" x14ac:dyDescent="0.2">
      <c r="B41"/>
      <c r="C41"/>
      <c r="D41" s="2214"/>
      <c r="E41"/>
      <c r="F41"/>
      <c r="G41"/>
      <c r="H41"/>
      <c r="I41"/>
      <c r="J41"/>
      <c r="K41"/>
      <c r="L41"/>
      <c r="N41"/>
      <c r="O41"/>
      <c r="Z41"/>
    </row>
    <row r="42" spans="1:28" s="50" customFormat="1" ht="18" customHeight="1" x14ac:dyDescent="0.2">
      <c r="B42"/>
      <c r="C42"/>
      <c r="D42"/>
      <c r="E42"/>
      <c r="F42"/>
      <c r="G42"/>
      <c r="H42"/>
      <c r="I42"/>
      <c r="J42"/>
      <c r="K42"/>
      <c r="L42"/>
      <c r="M42"/>
      <c r="N42"/>
      <c r="O42"/>
      <c r="P42"/>
      <c r="Q42"/>
      <c r="R42"/>
      <c r="S42"/>
      <c r="T42"/>
      <c r="U42"/>
      <c r="V42"/>
      <c r="W42"/>
      <c r="X42"/>
      <c r="Y42"/>
      <c r="Z42"/>
    </row>
    <row r="43" spans="1:28" s="50" customFormat="1" ht="18" customHeight="1" x14ac:dyDescent="0.2">
      <c r="B43"/>
      <c r="C43"/>
      <c r="D43"/>
      <c r="E43"/>
      <c r="F43"/>
      <c r="G43"/>
      <c r="H43"/>
      <c r="I43"/>
      <c r="J43"/>
      <c r="K43"/>
      <c r="L43"/>
      <c r="M43"/>
      <c r="N43"/>
      <c r="O43"/>
      <c r="P43"/>
      <c r="Q43"/>
      <c r="R43"/>
      <c r="S43"/>
      <c r="T43"/>
      <c r="U43"/>
      <c r="V43"/>
      <c r="W43"/>
      <c r="X43"/>
      <c r="Y43"/>
      <c r="Z43"/>
    </row>
    <row r="44" spans="1:28" s="50" customFormat="1" ht="17" customHeight="1" x14ac:dyDescent="0.2">
      <c r="B44"/>
      <c r="C44"/>
      <c r="D44"/>
      <c r="E44"/>
      <c r="F44"/>
      <c r="G44"/>
      <c r="H44"/>
      <c r="I44"/>
      <c r="J44"/>
      <c r="K44"/>
      <c r="L44"/>
      <c r="M44"/>
      <c r="N44"/>
      <c r="O44"/>
      <c r="P44"/>
      <c r="Q44"/>
      <c r="R44"/>
      <c r="S44"/>
      <c r="T44"/>
      <c r="U44"/>
      <c r="V44"/>
      <c r="W44"/>
      <c r="X44"/>
      <c r="Y44"/>
      <c r="Z44"/>
    </row>
    <row r="45" spans="1:28" s="50" customFormat="1" ht="17" customHeight="1" x14ac:dyDescent="0.2">
      <c r="B45"/>
      <c r="C45"/>
      <c r="D45"/>
      <c r="E45"/>
      <c r="F45"/>
      <c r="G45"/>
      <c r="H45"/>
      <c r="I45"/>
      <c r="J45"/>
      <c r="K45"/>
      <c r="L45"/>
      <c r="M45"/>
      <c r="N45"/>
      <c r="O45"/>
      <c r="P45"/>
      <c r="Q45"/>
      <c r="R45"/>
      <c r="S45"/>
      <c r="T45"/>
      <c r="U45"/>
      <c r="V45"/>
      <c r="W45"/>
      <c r="X45"/>
      <c r="Y45"/>
      <c r="Z45"/>
    </row>
    <row r="46" spans="1:28" ht="19.55" customHeight="1" x14ac:dyDescent="0.2">
      <c r="A46" s="42"/>
      <c r="B46"/>
      <c r="C46"/>
      <c r="D46"/>
      <c r="E46"/>
      <c r="F46"/>
      <c r="G46"/>
      <c r="H46"/>
      <c r="I46"/>
      <c r="J46"/>
      <c r="K46"/>
      <c r="L46"/>
      <c r="M46"/>
      <c r="O46"/>
      <c r="P46"/>
      <c r="Q46"/>
      <c r="R46"/>
      <c r="S46"/>
      <c r="T46"/>
      <c r="U46"/>
      <c r="V46"/>
      <c r="W46"/>
      <c r="X46"/>
      <c r="Y46"/>
      <c r="Z46"/>
      <c r="AA46" s="43"/>
      <c r="AB46" s="43"/>
    </row>
    <row r="47" spans="1:28" ht="20.25" customHeight="1" x14ac:dyDescent="0.2">
      <c r="A47" s="42"/>
      <c r="B47"/>
      <c r="C47"/>
      <c r="D47"/>
      <c r="E47"/>
      <c r="F47"/>
      <c r="G47"/>
      <c r="H47"/>
      <c r="I47"/>
      <c r="J47"/>
      <c r="K47"/>
      <c r="L47"/>
      <c r="M47"/>
      <c r="O47"/>
      <c r="P47"/>
      <c r="Q47"/>
      <c r="R47"/>
      <c r="S47"/>
      <c r="T47"/>
      <c r="U47"/>
      <c r="V47"/>
      <c r="W47"/>
      <c r="X47"/>
      <c r="Y47"/>
      <c r="Z47"/>
      <c r="AA47" s="43"/>
      <c r="AB47" s="43"/>
    </row>
    <row r="48" spans="1:28" ht="21.25" customHeight="1" x14ac:dyDescent="0.2">
      <c r="A48" s="42"/>
      <c r="B48"/>
      <c r="C48"/>
      <c r="D48"/>
      <c r="E48"/>
      <c r="F48"/>
      <c r="G48"/>
      <c r="H48"/>
      <c r="I48"/>
      <c r="J48"/>
      <c r="K48"/>
      <c r="L48"/>
      <c r="M48"/>
      <c r="O48"/>
      <c r="P48"/>
      <c r="Q48"/>
      <c r="R48"/>
      <c r="S48"/>
      <c r="T48"/>
      <c r="U48"/>
      <c r="V48"/>
      <c r="W48"/>
      <c r="X48"/>
      <c r="Y48"/>
      <c r="Z48"/>
      <c r="AA48" s="43"/>
      <c r="AB48" s="43"/>
    </row>
    <row r="49" spans="1:28" ht="17.350000000000001" customHeight="1" x14ac:dyDescent="0.2">
      <c r="A49" s="42"/>
      <c r="B49"/>
      <c r="C49"/>
      <c r="D49"/>
      <c r="E49"/>
      <c r="F49"/>
      <c r="G49"/>
      <c r="H49"/>
      <c r="I49"/>
      <c r="J49"/>
      <c r="K49"/>
      <c r="L49"/>
      <c r="M49"/>
      <c r="O49"/>
      <c r="P49"/>
      <c r="Q49"/>
      <c r="R49"/>
      <c r="S49"/>
      <c r="T49"/>
      <c r="U49"/>
      <c r="V49"/>
      <c r="W49"/>
      <c r="X49"/>
      <c r="Y49"/>
      <c r="Z49"/>
      <c r="AA49" s="43"/>
      <c r="AB49" s="43"/>
    </row>
    <row r="50" spans="1:28" s="44" customFormat="1" ht="18" customHeight="1" x14ac:dyDescent="0.2">
      <c r="B50"/>
      <c r="C50"/>
      <c r="D50"/>
      <c r="E50"/>
      <c r="F50"/>
      <c r="G50"/>
      <c r="H50"/>
      <c r="I50"/>
      <c r="J50"/>
      <c r="K50"/>
      <c r="L50"/>
      <c r="M50"/>
      <c r="N50" s="7"/>
      <c r="O50"/>
      <c r="P50"/>
      <c r="Q50"/>
      <c r="R50"/>
      <c r="S50"/>
      <c r="T50"/>
      <c r="U50"/>
      <c r="V50"/>
      <c r="W50"/>
      <c r="X50"/>
      <c r="Y50"/>
      <c r="Z50"/>
    </row>
    <row r="51" spans="1:28" s="46" customFormat="1" ht="18" customHeight="1" x14ac:dyDescent="0.2">
      <c r="B51"/>
      <c r="C51"/>
      <c r="D51"/>
      <c r="E51"/>
      <c r="F51"/>
      <c r="G51"/>
      <c r="H51"/>
      <c r="I51"/>
      <c r="J51"/>
      <c r="K51"/>
      <c r="L51"/>
      <c r="M51"/>
      <c r="N51" s="49"/>
      <c r="O51"/>
      <c r="P51"/>
      <c r="Q51"/>
      <c r="R51"/>
      <c r="S51"/>
      <c r="T51"/>
      <c r="U51"/>
      <c r="V51"/>
      <c r="W51"/>
      <c r="X51"/>
      <c r="Y51"/>
      <c r="Z51"/>
    </row>
    <row r="52" spans="1:28" s="46" customFormat="1" ht="18" customHeight="1" x14ac:dyDescent="0.2">
      <c r="B52"/>
      <c r="C52"/>
      <c r="D52"/>
      <c r="E52"/>
      <c r="F52"/>
      <c r="G52"/>
      <c r="H52"/>
      <c r="I52"/>
      <c r="J52"/>
      <c r="K52"/>
      <c r="L52"/>
      <c r="M52"/>
      <c r="N52" s="49"/>
      <c r="O52"/>
      <c r="P52"/>
      <c r="Q52"/>
      <c r="R52"/>
      <c r="S52"/>
      <c r="T52"/>
      <c r="U52"/>
      <c r="V52"/>
      <c r="W52"/>
      <c r="X52"/>
      <c r="Y52"/>
      <c r="Z52"/>
    </row>
    <row r="53" spans="1:28" s="46" customFormat="1" ht="18" customHeight="1" x14ac:dyDescent="0.2">
      <c r="B53"/>
      <c r="C53"/>
      <c r="D53"/>
      <c r="E53"/>
      <c r="F53"/>
      <c r="G53"/>
      <c r="H53"/>
      <c r="I53"/>
      <c r="J53"/>
      <c r="K53"/>
      <c r="L53"/>
      <c r="M53"/>
      <c r="N53" s="49"/>
      <c r="O53"/>
      <c r="P53"/>
      <c r="Q53"/>
      <c r="R53"/>
      <c r="S53"/>
      <c r="T53"/>
      <c r="U53"/>
      <c r="V53"/>
      <c r="W53"/>
      <c r="X53"/>
      <c r="Y53"/>
      <c r="Z53"/>
    </row>
    <row r="54" spans="1:28" s="50" customFormat="1" ht="18" customHeight="1" x14ac:dyDescent="0.2">
      <c r="B54"/>
      <c r="C54"/>
      <c r="D54"/>
      <c r="E54"/>
      <c r="F54"/>
      <c r="G54"/>
      <c r="H54"/>
      <c r="I54"/>
      <c r="J54"/>
      <c r="K54"/>
      <c r="L54"/>
      <c r="M54"/>
      <c r="N54" s="49"/>
      <c r="O54"/>
      <c r="P54"/>
      <c r="Q54"/>
      <c r="R54"/>
      <c r="S54"/>
      <c r="T54"/>
      <c r="U54"/>
      <c r="V54"/>
      <c r="W54"/>
      <c r="X54"/>
      <c r="Y54"/>
      <c r="Z54"/>
    </row>
    <row r="55" spans="1:28" s="50" customFormat="1" ht="18" customHeight="1" x14ac:dyDescent="0.2">
      <c r="B55"/>
      <c r="C55"/>
      <c r="D55"/>
      <c r="E55"/>
      <c r="F55"/>
      <c r="G55"/>
      <c r="H55"/>
      <c r="I55"/>
      <c r="J55"/>
      <c r="K55"/>
      <c r="L55"/>
      <c r="M55"/>
      <c r="N55" s="49"/>
      <c r="O55"/>
      <c r="P55"/>
      <c r="Q55"/>
      <c r="R55"/>
      <c r="S55"/>
      <c r="T55"/>
      <c r="U55"/>
      <c r="V55"/>
      <c r="W55"/>
      <c r="X55"/>
      <c r="Y55"/>
      <c r="Z55"/>
    </row>
    <row r="56" spans="1:28" s="50" customFormat="1" ht="18" customHeight="1" x14ac:dyDescent="0.2">
      <c r="B56"/>
      <c r="C56"/>
      <c r="D56"/>
      <c r="E56"/>
      <c r="F56"/>
      <c r="G56"/>
      <c r="H56"/>
      <c r="I56"/>
      <c r="J56"/>
      <c r="K56"/>
      <c r="L56"/>
      <c r="M56"/>
      <c r="N56" s="49"/>
      <c r="O56"/>
      <c r="P56"/>
      <c r="Q56"/>
      <c r="R56"/>
      <c r="S56"/>
      <c r="T56"/>
      <c r="U56"/>
      <c r="V56"/>
      <c r="W56"/>
      <c r="X56"/>
      <c r="Y56"/>
      <c r="Z56"/>
    </row>
    <row r="57" spans="1:28" s="50" customFormat="1" ht="18" customHeight="1" x14ac:dyDescent="0.2">
      <c r="B57"/>
      <c r="C57"/>
      <c r="D57"/>
      <c r="E57"/>
      <c r="F57"/>
      <c r="G57"/>
      <c r="H57"/>
      <c r="I57"/>
      <c r="J57"/>
      <c r="K57"/>
      <c r="L57"/>
      <c r="M57"/>
      <c r="N57" s="49"/>
      <c r="O57"/>
      <c r="P57"/>
      <c r="Q57"/>
      <c r="R57"/>
      <c r="S57"/>
      <c r="T57"/>
      <c r="U57"/>
      <c r="V57"/>
      <c r="W57"/>
      <c r="X57"/>
      <c r="Y57"/>
      <c r="Z57"/>
    </row>
    <row r="58" spans="1:28" s="50" customFormat="1" ht="18" customHeight="1" x14ac:dyDescent="0.2">
      <c r="B58"/>
      <c r="C58"/>
      <c r="D58"/>
      <c r="E58"/>
      <c r="F58"/>
      <c r="G58"/>
      <c r="H58"/>
      <c r="I58"/>
      <c r="J58"/>
      <c r="K58"/>
      <c r="L58"/>
      <c r="M58"/>
      <c r="N58" s="49"/>
      <c r="O58"/>
      <c r="P58"/>
      <c r="Q58"/>
      <c r="R58"/>
      <c r="S58"/>
      <c r="T58"/>
      <c r="U58"/>
      <c r="V58"/>
      <c r="W58"/>
      <c r="X58"/>
      <c r="Y58"/>
      <c r="Z58"/>
    </row>
    <row r="59" spans="1:28" s="50" customFormat="1" ht="18" customHeight="1" x14ac:dyDescent="0.2">
      <c r="B59"/>
      <c r="C59"/>
      <c r="D59"/>
      <c r="E59"/>
      <c r="F59"/>
      <c r="G59"/>
      <c r="H59"/>
      <c r="I59"/>
      <c r="J59"/>
      <c r="K59"/>
      <c r="L59"/>
      <c r="M59"/>
      <c r="N59" s="49"/>
      <c r="O59"/>
      <c r="P59"/>
      <c r="Q59"/>
      <c r="R59"/>
      <c r="S59"/>
      <c r="T59"/>
      <c r="U59"/>
      <c r="V59"/>
      <c r="W59"/>
      <c r="X59"/>
      <c r="Y59"/>
      <c r="Z59"/>
    </row>
    <row r="60" spans="1:28" s="50" customFormat="1" ht="18" customHeight="1" x14ac:dyDescent="0.2">
      <c r="B60"/>
      <c r="C60"/>
      <c r="D60"/>
      <c r="E60"/>
      <c r="F60"/>
      <c r="G60"/>
      <c r="H60"/>
      <c r="I60"/>
      <c r="J60"/>
      <c r="K60"/>
      <c r="L60"/>
      <c r="M60"/>
      <c r="N60" s="49"/>
      <c r="O60"/>
      <c r="P60"/>
      <c r="Q60"/>
      <c r="R60"/>
      <c r="S60"/>
      <c r="T60"/>
      <c r="U60"/>
      <c r="V60"/>
      <c r="W60"/>
      <c r="X60"/>
      <c r="Y60"/>
      <c r="Z60"/>
    </row>
    <row r="61" spans="1:28" s="50" customFormat="1" ht="18" customHeight="1" x14ac:dyDescent="0.2">
      <c r="B61"/>
      <c r="C61"/>
      <c r="D61"/>
      <c r="E61"/>
      <c r="F61"/>
      <c r="G61"/>
      <c r="H61"/>
      <c r="I61"/>
      <c r="J61"/>
      <c r="K61"/>
      <c r="L61"/>
      <c r="M61"/>
      <c r="N61" s="49"/>
      <c r="O61"/>
      <c r="P61"/>
      <c r="Q61"/>
      <c r="R61"/>
      <c r="S61"/>
      <c r="T61"/>
      <c r="U61"/>
      <c r="V61"/>
      <c r="W61"/>
      <c r="X61"/>
      <c r="Y61"/>
      <c r="Z61"/>
    </row>
    <row r="62" spans="1:28" s="50" customFormat="1" ht="18" customHeight="1" x14ac:dyDescent="0.2">
      <c r="B62"/>
      <c r="C62"/>
      <c r="D62"/>
      <c r="E62"/>
      <c r="F62"/>
      <c r="G62"/>
      <c r="H62"/>
      <c r="I62"/>
      <c r="J62"/>
      <c r="K62"/>
      <c r="L62"/>
      <c r="M62"/>
      <c r="N62" s="49"/>
      <c r="O62"/>
      <c r="P62"/>
      <c r="Q62"/>
      <c r="R62"/>
      <c r="S62"/>
      <c r="T62"/>
      <c r="U62"/>
      <c r="V62"/>
      <c r="W62"/>
      <c r="X62"/>
      <c r="Y62"/>
      <c r="Z62"/>
    </row>
    <row r="63" spans="1:28" s="50" customFormat="1" ht="18" customHeight="1" x14ac:dyDescent="0.2">
      <c r="B63"/>
      <c r="C63"/>
      <c r="D63"/>
      <c r="E63"/>
      <c r="F63"/>
      <c r="G63"/>
      <c r="H63"/>
      <c r="I63"/>
      <c r="J63"/>
      <c r="K63"/>
      <c r="L63"/>
      <c r="M63"/>
      <c r="N63" s="49"/>
      <c r="O63"/>
      <c r="P63"/>
      <c r="Q63"/>
      <c r="R63"/>
      <c r="S63"/>
      <c r="T63"/>
      <c r="U63"/>
      <c r="V63"/>
      <c r="W63"/>
      <c r="X63"/>
      <c r="Y63"/>
      <c r="Z63"/>
    </row>
    <row r="64" spans="1:28" s="50" customFormat="1" ht="18" customHeight="1" x14ac:dyDescent="0.2">
      <c r="B64"/>
      <c r="C64"/>
      <c r="D64"/>
      <c r="E64"/>
      <c r="F64"/>
      <c r="G64"/>
      <c r="H64"/>
      <c r="I64"/>
      <c r="J64"/>
      <c r="K64"/>
      <c r="L64"/>
      <c r="M64"/>
      <c r="N64" s="49"/>
      <c r="O64"/>
      <c r="P64"/>
      <c r="Q64"/>
      <c r="R64"/>
      <c r="S64"/>
      <c r="T64"/>
      <c r="U64"/>
      <c r="V64"/>
      <c r="W64"/>
      <c r="X64"/>
      <c r="Y64"/>
    </row>
    <row r="65" spans="1:28" s="50" customFormat="1" ht="14.95" customHeight="1" x14ac:dyDescent="0.2">
      <c r="B65"/>
      <c r="C65"/>
      <c r="D65"/>
      <c r="E65"/>
      <c r="F65"/>
      <c r="G65"/>
      <c r="H65"/>
      <c r="I65"/>
      <c r="J65"/>
      <c r="K65"/>
      <c r="L65"/>
      <c r="M65"/>
      <c r="N65" s="49"/>
      <c r="O65"/>
      <c r="P65"/>
      <c r="Q65"/>
      <c r="R65"/>
      <c r="S65"/>
      <c r="T65"/>
      <c r="U65"/>
      <c r="V65"/>
      <c r="W65"/>
      <c r="X65"/>
      <c r="Y65"/>
    </row>
    <row r="66" spans="1:28" s="50" customFormat="1" ht="14.95" customHeight="1" x14ac:dyDescent="0.2">
      <c r="B66"/>
      <c r="C66"/>
      <c r="D66"/>
      <c r="E66"/>
      <c r="F66"/>
      <c r="G66"/>
      <c r="H66"/>
      <c r="I66"/>
      <c r="J66"/>
      <c r="K66"/>
      <c r="L66"/>
      <c r="M66"/>
      <c r="N66" s="49"/>
      <c r="O66"/>
      <c r="P66"/>
      <c r="Q66"/>
      <c r="R66"/>
      <c r="S66"/>
      <c r="T66"/>
      <c r="U66"/>
      <c r="V66"/>
      <c r="W66"/>
      <c r="X66"/>
      <c r="Y66"/>
    </row>
    <row r="67" spans="1:28" s="50" customFormat="1" ht="14.95" customHeight="1" x14ac:dyDescent="0.2">
      <c r="B67"/>
      <c r="C67"/>
      <c r="D67"/>
      <c r="E67"/>
      <c r="F67"/>
      <c r="G67"/>
      <c r="H67"/>
      <c r="I67"/>
      <c r="J67"/>
      <c r="K67"/>
      <c r="L67"/>
      <c r="M67"/>
      <c r="N67" s="49"/>
      <c r="O67"/>
      <c r="P67"/>
      <c r="Q67"/>
      <c r="R67"/>
      <c r="S67"/>
      <c r="T67"/>
      <c r="U67"/>
      <c r="V67"/>
      <c r="W67"/>
      <c r="X67"/>
      <c r="Y67"/>
    </row>
    <row r="68" spans="1:28" s="50" customFormat="1" ht="14.95" customHeight="1" x14ac:dyDescent="0.2">
      <c r="B68"/>
      <c r="C68"/>
      <c r="D68"/>
      <c r="E68"/>
      <c r="F68"/>
      <c r="G68"/>
      <c r="H68"/>
      <c r="I68"/>
      <c r="J68"/>
      <c r="K68"/>
      <c r="L68"/>
      <c r="M68"/>
      <c r="N68" s="49"/>
      <c r="O68"/>
      <c r="P68"/>
      <c r="Q68"/>
      <c r="R68"/>
      <c r="S68"/>
      <c r="T68"/>
      <c r="U68"/>
      <c r="V68"/>
      <c r="W68"/>
      <c r="X68"/>
      <c r="Y68"/>
    </row>
    <row r="69" spans="1:28" s="50" customFormat="1" ht="14.95" customHeight="1" x14ac:dyDescent="0.2">
      <c r="B69"/>
      <c r="C69"/>
      <c r="D69"/>
      <c r="E69"/>
      <c r="F69"/>
      <c r="G69"/>
      <c r="H69"/>
      <c r="I69"/>
      <c r="J69"/>
      <c r="K69"/>
      <c r="L69"/>
      <c r="M69"/>
      <c r="N69" s="49"/>
      <c r="O69"/>
      <c r="P69"/>
      <c r="Q69"/>
      <c r="R69"/>
      <c r="S69"/>
      <c r="T69"/>
      <c r="U69"/>
      <c r="V69"/>
      <c r="W69"/>
      <c r="X69"/>
      <c r="Y69"/>
    </row>
    <row r="70" spans="1:28" s="50" customFormat="1" ht="15.8" customHeight="1" x14ac:dyDescent="0.2">
      <c r="B70"/>
      <c r="C70"/>
      <c r="D70"/>
      <c r="E70"/>
      <c r="F70"/>
      <c r="G70"/>
      <c r="H70"/>
      <c r="I70"/>
      <c r="J70"/>
      <c r="K70"/>
      <c r="L70"/>
      <c r="M70"/>
      <c r="N70" s="49"/>
      <c r="O70"/>
      <c r="P70"/>
      <c r="Q70"/>
      <c r="R70"/>
      <c r="S70"/>
      <c r="T70"/>
      <c r="U70"/>
      <c r="V70"/>
      <c r="W70"/>
      <c r="X70"/>
      <c r="Y70"/>
    </row>
    <row r="71" spans="1:28" ht="19.55" customHeight="1" x14ac:dyDescent="0.2">
      <c r="A71" s="42"/>
      <c r="B71"/>
      <c r="C71"/>
      <c r="D71"/>
      <c r="E71"/>
      <c r="F71"/>
      <c r="G71"/>
      <c r="H71"/>
      <c r="I71"/>
      <c r="J71"/>
      <c r="K71"/>
      <c r="L71"/>
      <c r="M71"/>
      <c r="O71"/>
      <c r="P71"/>
      <c r="Q71"/>
      <c r="R71"/>
      <c r="S71"/>
      <c r="T71"/>
      <c r="U71"/>
      <c r="V71"/>
      <c r="W71"/>
      <c r="X71"/>
      <c r="Y71"/>
      <c r="Z71" s="43"/>
      <c r="AA71" s="43"/>
      <c r="AB71" s="43"/>
    </row>
    <row r="72" spans="1:28" ht="22.6" customHeight="1" x14ac:dyDescent="0.2">
      <c r="A72" s="42"/>
      <c r="B72"/>
      <c r="C72"/>
      <c r="D72"/>
      <c r="E72"/>
      <c r="F72"/>
      <c r="G72"/>
      <c r="H72"/>
      <c r="I72"/>
      <c r="J72"/>
      <c r="K72"/>
      <c r="L72"/>
      <c r="M72"/>
      <c r="O72"/>
      <c r="P72"/>
      <c r="Q72"/>
      <c r="R72"/>
      <c r="S72"/>
      <c r="T72"/>
      <c r="U72"/>
      <c r="V72"/>
      <c r="W72"/>
      <c r="X72"/>
      <c r="Y72"/>
      <c r="Z72" s="43"/>
      <c r="AA72" s="43"/>
      <c r="AB72" s="43"/>
    </row>
    <row r="73" spans="1:28" ht="21.25" customHeight="1" x14ac:dyDescent="0.2">
      <c r="A73" s="42"/>
      <c r="B73"/>
      <c r="C73"/>
      <c r="D73"/>
      <c r="E73"/>
      <c r="F73"/>
      <c r="G73"/>
      <c r="H73"/>
      <c r="I73"/>
      <c r="J73"/>
      <c r="K73"/>
      <c r="L73"/>
      <c r="M73"/>
      <c r="O73"/>
      <c r="P73"/>
      <c r="Q73"/>
      <c r="R73"/>
      <c r="S73"/>
      <c r="T73"/>
      <c r="U73"/>
      <c r="V73"/>
      <c r="W73"/>
      <c r="X73"/>
      <c r="Y73"/>
      <c r="Z73" s="43"/>
      <c r="AA73" s="43"/>
      <c r="AB73" s="43"/>
    </row>
    <row r="74" spans="1:28" ht="17.350000000000001" customHeight="1" x14ac:dyDescent="0.2">
      <c r="A74" s="42"/>
      <c r="B74"/>
      <c r="C74"/>
      <c r="D74"/>
      <c r="E74"/>
      <c r="F74"/>
      <c r="G74"/>
      <c r="H74"/>
      <c r="I74"/>
      <c r="J74"/>
      <c r="K74"/>
      <c r="L74"/>
      <c r="M74"/>
      <c r="O74"/>
      <c r="P74"/>
      <c r="Q74"/>
      <c r="R74"/>
      <c r="S74"/>
      <c r="T74"/>
      <c r="U74"/>
      <c r="V74"/>
      <c r="W74"/>
      <c r="X74"/>
      <c r="Y74"/>
      <c r="Z74" s="43"/>
      <c r="AA74" s="43"/>
      <c r="AB74" s="43"/>
    </row>
    <row r="75" spans="1:28" s="44" customFormat="1" ht="22.6" customHeight="1" x14ac:dyDescent="0.2">
      <c r="B75"/>
      <c r="C75"/>
      <c r="D75" s="50"/>
      <c r="E75" s="50"/>
      <c r="F75" s="50"/>
      <c r="G75" s="50"/>
      <c r="H75" s="50"/>
      <c r="I75" s="50"/>
      <c r="J75" s="50"/>
      <c r="K75" s="50"/>
      <c r="L75" s="50"/>
      <c r="M75" s="50"/>
      <c r="N75" s="7"/>
      <c r="O75"/>
      <c r="P75"/>
      <c r="Q75"/>
      <c r="R75"/>
      <c r="S75"/>
      <c r="T75"/>
      <c r="U75"/>
      <c r="V75"/>
      <c r="W75"/>
      <c r="X75"/>
      <c r="Y75"/>
    </row>
    <row r="76" spans="1:28" s="50" customFormat="1" ht="16.5" customHeight="1" x14ac:dyDescent="0.2">
      <c r="O76"/>
      <c r="P76"/>
      <c r="Q76"/>
      <c r="R76"/>
      <c r="S76"/>
      <c r="T76"/>
      <c r="U76"/>
      <c r="V76"/>
      <c r="W76"/>
      <c r="X76"/>
      <c r="Y76"/>
    </row>
    <row r="77" spans="1:28" s="50" customFormat="1" ht="16.5" customHeight="1" x14ac:dyDescent="0.2">
      <c r="O77"/>
      <c r="P77"/>
      <c r="Q77"/>
      <c r="R77"/>
      <c r="S77"/>
      <c r="T77"/>
      <c r="U77"/>
      <c r="V77"/>
      <c r="W77"/>
      <c r="X77"/>
      <c r="Y77"/>
    </row>
    <row r="78" spans="1:28" s="50" customFormat="1" ht="16.5" customHeight="1" x14ac:dyDescent="0.2">
      <c r="O78"/>
      <c r="P78"/>
      <c r="Q78"/>
      <c r="R78"/>
      <c r="S78"/>
      <c r="T78"/>
      <c r="U78"/>
      <c r="V78"/>
      <c r="W78"/>
      <c r="X78"/>
      <c r="Y78"/>
    </row>
    <row r="79" spans="1:28" s="50" customFormat="1" ht="16.5" customHeight="1" x14ac:dyDescent="0.2">
      <c r="O79"/>
      <c r="P79"/>
      <c r="Q79"/>
      <c r="R79"/>
      <c r="S79"/>
      <c r="T79"/>
      <c r="U79"/>
      <c r="V79"/>
      <c r="W79"/>
      <c r="X79"/>
      <c r="Y79"/>
    </row>
    <row r="80" spans="1:28" s="50" customFormat="1" ht="16.5" customHeight="1" x14ac:dyDescent="0.2">
      <c r="O80"/>
      <c r="P80"/>
      <c r="Q80"/>
      <c r="R80"/>
      <c r="S80"/>
      <c r="T80"/>
      <c r="U80"/>
      <c r="V80"/>
      <c r="W80"/>
      <c r="X80"/>
      <c r="Y80"/>
    </row>
    <row r="81" spans="15:25" s="50" customFormat="1" ht="16.5" customHeight="1" x14ac:dyDescent="0.2">
      <c r="O81"/>
      <c r="P81"/>
      <c r="Q81"/>
      <c r="R81"/>
      <c r="S81"/>
      <c r="T81"/>
      <c r="U81"/>
      <c r="V81"/>
      <c r="W81"/>
      <c r="X81"/>
      <c r="Y81"/>
    </row>
    <row r="82" spans="15:25" s="50" customFormat="1" ht="16.5" customHeight="1" x14ac:dyDescent="0.2">
      <c r="O82"/>
      <c r="P82"/>
      <c r="Q82"/>
      <c r="R82"/>
      <c r="S82"/>
      <c r="T82"/>
      <c r="U82"/>
      <c r="V82"/>
      <c r="W82"/>
      <c r="X82"/>
      <c r="Y82"/>
    </row>
    <row r="83" spans="15:25" s="50" customFormat="1" ht="16.5" customHeight="1" x14ac:dyDescent="0.2">
      <c r="O83"/>
      <c r="P83"/>
      <c r="Q83"/>
      <c r="R83"/>
      <c r="S83"/>
      <c r="T83"/>
      <c r="U83"/>
      <c r="V83"/>
      <c r="W83"/>
      <c r="X83"/>
      <c r="Y83"/>
    </row>
    <row r="84" spans="15:25" s="50" customFormat="1" ht="16.5" customHeight="1" x14ac:dyDescent="0.2">
      <c r="O84"/>
      <c r="P84"/>
      <c r="Q84"/>
      <c r="R84"/>
      <c r="S84"/>
      <c r="T84"/>
      <c r="U84"/>
      <c r="V84"/>
      <c r="W84"/>
      <c r="X84"/>
      <c r="Y84"/>
    </row>
    <row r="85" spans="15:25" s="50" customFormat="1" ht="16.5" customHeight="1" x14ac:dyDescent="0.2">
      <c r="O85"/>
      <c r="P85"/>
      <c r="Q85"/>
      <c r="R85"/>
      <c r="S85"/>
      <c r="T85"/>
      <c r="U85"/>
      <c r="V85"/>
      <c r="W85"/>
      <c r="X85"/>
      <c r="Y85"/>
    </row>
    <row r="86" spans="15:25" s="50" customFormat="1" ht="16.5" customHeight="1" x14ac:dyDescent="0.2">
      <c r="O86"/>
      <c r="P86"/>
      <c r="Q86"/>
      <c r="R86"/>
      <c r="S86"/>
      <c r="T86"/>
      <c r="U86"/>
      <c r="V86"/>
      <c r="W86"/>
      <c r="X86"/>
      <c r="Y86"/>
    </row>
    <row r="87" spans="15:25" s="50" customFormat="1" ht="16.5" customHeight="1" x14ac:dyDescent="0.2">
      <c r="O87"/>
    </row>
    <row r="88" spans="15:25" s="50" customFormat="1" ht="16.5" customHeight="1" x14ac:dyDescent="0.2">
      <c r="O88"/>
    </row>
    <row r="89" spans="15:25" s="50" customFormat="1" ht="16.5" customHeight="1" x14ac:dyDescent="0.2"/>
    <row r="90" spans="15:25" s="50" customFormat="1" ht="16.5" customHeight="1" x14ac:dyDescent="0.2"/>
    <row r="91" spans="15:25" s="50" customFormat="1" ht="16.5" customHeight="1" x14ac:dyDescent="0.2"/>
    <row r="92" spans="15:25" s="50" customFormat="1" ht="16.5" customHeight="1" x14ac:dyDescent="0.2"/>
    <row r="93" spans="15:25" s="50" customFormat="1" ht="16.5" customHeight="1" x14ac:dyDescent="0.2"/>
    <row r="94" spans="15:25" s="50" customFormat="1" ht="16.5" customHeight="1" x14ac:dyDescent="0.2"/>
    <row r="95" spans="15:25" s="50" customFormat="1" ht="16.5" customHeight="1" x14ac:dyDescent="0.2"/>
    <row r="96" spans="15:25" s="50" customFormat="1" ht="16.5" customHeight="1" x14ac:dyDescent="0.2"/>
    <row r="97" spans="4:25" s="50" customFormat="1" ht="16.5" customHeight="1" x14ac:dyDescent="0.2"/>
    <row r="98" spans="4:25" s="50" customFormat="1" ht="16.5" customHeight="1" x14ac:dyDescent="0.2"/>
    <row r="99" spans="4:25" s="50" customFormat="1" ht="16.5" customHeight="1" x14ac:dyDescent="0.2"/>
    <row r="100" spans="4:25" s="50" customFormat="1" ht="16.5" customHeight="1" x14ac:dyDescent="0.2"/>
    <row r="101" spans="4:25" s="50" customFormat="1" ht="16.5" customHeight="1" x14ac:dyDescent="0.2"/>
    <row r="102" spans="4:25" s="50" customFormat="1" ht="16.5" customHeight="1" x14ac:dyDescent="0.2"/>
    <row r="103" spans="4:25" s="50" customFormat="1" ht="16.5" customHeight="1" x14ac:dyDescent="0.2"/>
    <row r="104" spans="4:25" s="50" customFormat="1" ht="16.5" customHeight="1" x14ac:dyDescent="0.2"/>
    <row r="105" spans="4:25" s="50" customFormat="1" ht="16.5" customHeight="1" x14ac:dyDescent="0.2"/>
    <row r="106" spans="4:25" s="50" customFormat="1" ht="16.5" customHeight="1" x14ac:dyDescent="0.2"/>
    <row r="107" spans="4:25" s="50" customFormat="1" ht="16.5" customHeight="1" x14ac:dyDescent="0.2"/>
    <row r="108" spans="4:25" s="50" customFormat="1" ht="16.5" customHeight="1" x14ac:dyDescent="0.2"/>
    <row r="109" spans="4:25" s="50" customFormat="1" ht="16.5" customHeight="1" x14ac:dyDescent="0.2">
      <c r="P109" s="7"/>
      <c r="Q109" s="7"/>
      <c r="R109" s="7"/>
      <c r="S109" s="7"/>
      <c r="T109" s="7"/>
      <c r="U109" s="41"/>
      <c r="V109" s="41"/>
      <c r="W109" s="41"/>
      <c r="X109" s="41"/>
      <c r="Y109" s="7"/>
    </row>
    <row r="110" spans="4:25" s="50" customFormat="1" ht="16.5" customHeight="1" x14ac:dyDescent="0.2">
      <c r="D110" s="7"/>
      <c r="E110" s="7"/>
      <c r="F110" s="7"/>
      <c r="G110" s="7"/>
      <c r="H110" s="7"/>
      <c r="I110" s="41"/>
      <c r="J110" s="41"/>
      <c r="K110" s="41"/>
      <c r="L110" s="41"/>
      <c r="M110" s="7"/>
      <c r="P110" s="7"/>
      <c r="Q110" s="7"/>
      <c r="R110" s="7"/>
      <c r="S110" s="7"/>
      <c r="T110" s="7"/>
      <c r="U110" s="41"/>
      <c r="V110" s="41"/>
      <c r="W110" s="41"/>
      <c r="X110" s="41"/>
      <c r="Y110" s="7"/>
    </row>
  </sheetData>
  <sheetProtection sheet="1" objects="1" scenarios="1"/>
  <customSheetViews>
    <customSheetView guid="{32760361-675F-4FBF-A5CA-B0597C10371F}" scale="67" showGridLines="0" zeroValues="0" fitToPage="1">
      <pane xSplit="2" ySplit="7" topLeftCell="C8" activePane="bottomRight" state="frozen"/>
      <selection pane="bottomRight" activeCell="H6" sqref="H6"/>
      <pageMargins left="0.70866141732283472" right="0.59055118110236227" top="0.98425196850393704" bottom="0.78740157480314965" header="0.51181102362204722" footer="0.31496062992125984"/>
      <printOptions horizontalCentered="1"/>
      <pageSetup paperSize="9" scale="62" orientation="landscape" verticalDpi="360" r:id="rId1"/>
      <headerFooter alignWithMargins="0">
        <oddFooter>&amp;L&amp;12LEL Schwäbisch Gmünd (Abtlg. II)
LAZBW Aulendorf&amp;C&amp;12 14&amp;R&amp;12&amp;F
&amp;A</oddFooter>
      </headerFooter>
    </customSheetView>
  </customSheetViews>
  <mergeCells count="15">
    <mergeCell ref="P17:Y18"/>
    <mergeCell ref="P26:S26"/>
    <mergeCell ref="D23:G23"/>
    <mergeCell ref="D5:M5"/>
    <mergeCell ref="Z2:AB3"/>
    <mergeCell ref="P13:U13"/>
    <mergeCell ref="P15:Y16"/>
    <mergeCell ref="P4:Y4"/>
    <mergeCell ref="D4:M4"/>
    <mergeCell ref="D1:H1"/>
    <mergeCell ref="W2:X2"/>
    <mergeCell ref="I6:L6"/>
    <mergeCell ref="R7:S7"/>
    <mergeCell ref="C2:S2"/>
    <mergeCell ref="P5:Y5"/>
  </mergeCells>
  <phoneticPr fontId="0" type="noConversion"/>
  <hyperlinks>
    <hyperlink ref="D1:H1" location="Inhalt!A1:A10" display="zurück zum Inhaltsverzeichnis"/>
    <hyperlink ref="P13" r:id="rId2"/>
    <hyperlink ref="P17" r:id="rId3"/>
  </hyperlinks>
  <printOptions horizontalCentered="1"/>
  <pageMargins left="0.70866141732283472" right="0.59055118110236227" top="0.98425196850393704" bottom="0.78740157480314965" header="0.51181102362204722" footer="0.31496062992125984"/>
  <pageSetup paperSize="9" scale="59" orientation="landscape" verticalDpi="360" r:id="rId4"/>
  <headerFooter alignWithMargins="0">
    <oddFooter>&amp;L&amp;12LEL Schwäbisch Gmünd (Abtlg. II)
LAZBW Aulendorf&amp;C&amp;12 14&amp;R&amp;12&amp;F
&amp;A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AN191"/>
  <sheetViews>
    <sheetView showGridLines="0" showZeros="0" zoomScale="85" zoomScaleNormal="85" workbookViewId="0">
      <selection activeCell="G1" sqref="G1"/>
    </sheetView>
  </sheetViews>
  <sheetFormatPr baseColWidth="10" defaultRowHeight="12.9" x14ac:dyDescent="0.2"/>
  <cols>
    <col min="1" max="1" width="3.125" style="8" customWidth="1"/>
    <col min="2" max="2" width="3.625" style="7" customWidth="1"/>
    <col min="3" max="3" width="5.625" style="7" customWidth="1"/>
    <col min="4" max="4" width="13" style="7" customWidth="1"/>
    <col min="5" max="5" width="7" style="7" customWidth="1"/>
    <col min="6" max="6" width="8.625" style="7" customWidth="1"/>
    <col min="7" max="7" width="29.625" style="7" customWidth="1"/>
    <col min="8" max="8" width="13" style="41" customWidth="1"/>
    <col min="9" max="11" width="11.125" style="41" customWidth="1"/>
    <col min="12" max="12" width="11.125" style="7" customWidth="1"/>
    <col min="14" max="22" width="0" hidden="1" customWidth="1"/>
    <col min="23" max="23" width="9.375" customWidth="1"/>
    <col min="26" max="26" width="65.125" bestFit="1" customWidth="1"/>
  </cols>
  <sheetData>
    <row r="1" spans="1:40" s="8" customFormat="1" ht="18.350000000000001" x14ac:dyDescent="0.2">
      <c r="B1" s="7"/>
      <c r="C1" s="7"/>
      <c r="D1" s="3169" t="s">
        <v>176</v>
      </c>
      <c r="E1" s="3169"/>
      <c r="F1" s="3169"/>
      <c r="G1" s="3169"/>
      <c r="H1" s="3169"/>
      <c r="I1" s="41"/>
      <c r="J1" s="41"/>
      <c r="K1" s="41"/>
      <c r="L1" s="41"/>
      <c r="M1" s="7"/>
      <c r="N1" s="7"/>
      <c r="O1" s="7"/>
    </row>
    <row r="2" spans="1:40" s="8" customFormat="1" ht="21.25" customHeight="1" x14ac:dyDescent="0.2">
      <c r="A2" s="42"/>
      <c r="B2" s="2109" t="s">
        <v>887</v>
      </c>
      <c r="C2" s="29"/>
      <c r="D2" s="29"/>
      <c r="E2" s="29"/>
      <c r="F2" s="29"/>
      <c r="G2" s="29"/>
      <c r="H2" s="29"/>
      <c r="I2" s="75"/>
      <c r="J2"/>
      <c r="K2"/>
      <c r="L2" s="75" t="s">
        <v>312</v>
      </c>
      <c r="M2" s="72">
        <f>Prämien!Y2</f>
        <v>2018</v>
      </c>
      <c r="N2" s="7"/>
      <c r="O2" s="7"/>
    </row>
    <row r="3" spans="1:40" s="8" customFormat="1" ht="21.25" customHeight="1" thickBot="1" x14ac:dyDescent="0.25">
      <c r="A3" s="42"/>
      <c r="B3" s="2536" t="s">
        <v>888</v>
      </c>
      <c r="C3" s="29"/>
      <c r="D3" s="195"/>
      <c r="E3" s="35"/>
      <c r="F3" s="35"/>
      <c r="G3" s="35"/>
      <c r="H3" s="35"/>
      <c r="J3"/>
      <c r="K3"/>
      <c r="L3" s="39"/>
      <c r="N3" s="7"/>
      <c r="O3" s="7"/>
      <c r="P3" s="43"/>
      <c r="Q3" s="43"/>
      <c r="R3" s="43"/>
      <c r="S3" s="43"/>
      <c r="T3" s="43"/>
      <c r="U3" s="43"/>
      <c r="V3" s="43"/>
      <c r="W3" s="43"/>
      <c r="X3" s="43"/>
      <c r="Y3" s="43"/>
      <c r="Z3" s="43"/>
      <c r="AA3" s="43"/>
      <c r="AB3" s="43"/>
      <c r="AC3" s="43"/>
      <c r="AD3" s="43"/>
      <c r="AE3" s="43"/>
      <c r="AF3" s="43"/>
      <c r="AG3" s="43"/>
      <c r="AH3" s="43"/>
      <c r="AI3" s="43"/>
      <c r="AJ3" s="43"/>
      <c r="AK3" s="43"/>
      <c r="AL3" s="43"/>
      <c r="AM3" s="43"/>
      <c r="AN3" s="43"/>
    </row>
    <row r="4" spans="1:40" s="8" customFormat="1" ht="22.6" customHeight="1" x14ac:dyDescent="0.2">
      <c r="A4" s="42"/>
      <c r="B4" s="2534"/>
      <c r="C4" s="29"/>
      <c r="D4" s="29"/>
      <c r="E4" s="29"/>
      <c r="F4" s="29"/>
      <c r="G4" s="29"/>
      <c r="H4" s="29"/>
      <c r="I4" s="29"/>
      <c r="J4" s="2496" t="s">
        <v>862</v>
      </c>
      <c r="K4" s="2497"/>
      <c r="L4" s="2498"/>
      <c r="M4" s="2498"/>
      <c r="N4" s="7"/>
      <c r="O4" s="7"/>
      <c r="P4" s="43"/>
      <c r="Q4" s="43"/>
      <c r="R4" s="43"/>
      <c r="S4" s="43"/>
      <c r="T4" s="43"/>
      <c r="U4" s="43"/>
      <c r="V4" s="43"/>
      <c r="W4" s="43"/>
      <c r="X4" s="43"/>
      <c r="Y4" s="43"/>
      <c r="Z4" s="43"/>
      <c r="AA4" s="43"/>
      <c r="AB4" s="43"/>
      <c r="AC4" s="43"/>
      <c r="AD4" s="43"/>
      <c r="AE4" s="43"/>
      <c r="AF4" s="43"/>
      <c r="AG4" s="43"/>
      <c r="AH4" s="43"/>
      <c r="AI4" s="43"/>
      <c r="AJ4" s="43"/>
      <c r="AK4" s="43"/>
      <c r="AL4" s="43"/>
      <c r="AM4" s="43"/>
      <c r="AN4" s="43"/>
    </row>
    <row r="5" spans="1:40" s="8" customFormat="1" ht="22.6" customHeight="1" x14ac:dyDescent="0.2">
      <c r="A5" s="42"/>
      <c r="B5" s="57"/>
      <c r="C5" s="222"/>
      <c r="D5" s="58"/>
      <c r="E5" s="58"/>
      <c r="F5" s="58"/>
      <c r="G5" s="58"/>
      <c r="H5" s="61" t="s">
        <v>283</v>
      </c>
      <c r="I5" s="59"/>
      <c r="J5" s="59"/>
      <c r="K5" s="59"/>
      <c r="L5" s="64"/>
      <c r="M5" s="544" t="s">
        <v>310</v>
      </c>
      <c r="N5" s="7"/>
      <c r="O5" s="7"/>
      <c r="P5" s="43"/>
      <c r="Q5" s="43"/>
      <c r="R5" s="43"/>
      <c r="S5" s="43"/>
      <c r="T5" s="43"/>
      <c r="U5" s="43"/>
      <c r="V5" s="43"/>
      <c r="W5" s="43"/>
      <c r="X5" s="43"/>
      <c r="Y5" s="43"/>
      <c r="Z5" s="43"/>
      <c r="AA5" s="43"/>
      <c r="AB5" s="43"/>
      <c r="AC5" s="43"/>
      <c r="AD5" s="43"/>
      <c r="AE5" s="43"/>
      <c r="AF5" s="1421" t="s">
        <v>863</v>
      </c>
      <c r="AG5" s="438"/>
      <c r="AH5" s="2229" t="s">
        <v>864</v>
      </c>
      <c r="AI5" s="2499">
        <v>1</v>
      </c>
      <c r="AJ5" s="2500" t="str">
        <f>VLOOKUP(AI5,AF6:AG7,2,FALSE)</f>
        <v>mit MwSt.</v>
      </c>
      <c r="AK5" s="2500"/>
      <c r="AL5" s="2500"/>
      <c r="AM5" s="2500"/>
      <c r="AN5" s="43"/>
    </row>
    <row r="6" spans="1:40" s="8" customFormat="1" ht="21.25" customHeight="1" x14ac:dyDescent="0.2">
      <c r="A6" s="42"/>
      <c r="B6" s="60"/>
      <c r="C6" s="7"/>
      <c r="D6" s="7"/>
      <c r="E6" s="7"/>
      <c r="F6" s="7"/>
      <c r="G6" s="7"/>
      <c r="H6" s="62">
        <v>2014</v>
      </c>
      <c r="I6" s="62">
        <v>2015</v>
      </c>
      <c r="J6" s="63">
        <v>2016</v>
      </c>
      <c r="K6" s="63">
        <v>2017</v>
      </c>
      <c r="L6" s="63">
        <v>2018</v>
      </c>
      <c r="M6" s="474">
        <f>M2</f>
        <v>2018</v>
      </c>
      <c r="N6" s="7"/>
      <c r="O6" s="7"/>
      <c r="P6" s="43"/>
      <c r="Q6" s="43"/>
      <c r="R6" s="43"/>
      <c r="S6" s="43"/>
      <c r="T6" s="43"/>
      <c r="U6" s="43"/>
      <c r="V6" s="43"/>
      <c r="W6" s="43"/>
      <c r="X6" s="43"/>
      <c r="Y6" s="43"/>
      <c r="Z6" s="43"/>
      <c r="AA6" s="43"/>
      <c r="AB6" s="43"/>
      <c r="AC6" s="43"/>
      <c r="AD6" s="43"/>
      <c r="AE6" s="43"/>
      <c r="AF6" s="2501">
        <v>1</v>
      </c>
      <c r="AG6" s="1421" t="s">
        <v>371</v>
      </c>
      <c r="AH6" s="771"/>
      <c r="AI6" s="771"/>
      <c r="AJ6" s="771"/>
      <c r="AK6" s="771"/>
      <c r="AL6" s="771"/>
      <c r="AM6" s="771"/>
      <c r="AN6" s="43"/>
    </row>
    <row r="7" spans="1:40" s="8" customFormat="1" ht="18.350000000000001" x14ac:dyDescent="0.2">
      <c r="A7" s="42"/>
      <c r="B7" s="2527"/>
      <c r="C7" s="2533" t="s">
        <v>313</v>
      </c>
      <c r="D7" s="2528"/>
      <c r="E7" s="2528"/>
      <c r="F7" s="2528"/>
      <c r="G7" s="2528"/>
      <c r="H7" s="2529"/>
      <c r="I7" s="2530"/>
      <c r="J7" s="2530"/>
      <c r="K7" s="2530"/>
      <c r="L7" s="2531"/>
      <c r="M7" s="2532"/>
      <c r="N7" s="7"/>
      <c r="O7" s="7"/>
      <c r="P7" s="43"/>
      <c r="Q7" s="43"/>
      <c r="R7" s="43"/>
      <c r="S7" s="43"/>
      <c r="T7" s="43"/>
      <c r="U7" s="43"/>
      <c r="V7" s="43"/>
      <c r="W7" s="43"/>
      <c r="X7" s="43"/>
      <c r="Y7" s="43"/>
      <c r="Z7" s="43"/>
      <c r="AA7" s="43"/>
      <c r="AB7" s="43"/>
      <c r="AC7" s="43"/>
      <c r="AD7" s="43"/>
      <c r="AE7" s="43"/>
      <c r="AF7" s="2501">
        <v>2</v>
      </c>
      <c r="AG7" s="1421" t="s">
        <v>370</v>
      </c>
      <c r="AH7" s="771"/>
      <c r="AI7" s="771"/>
      <c r="AJ7" s="771"/>
      <c r="AK7" s="771"/>
      <c r="AL7" s="771"/>
      <c r="AM7" s="771"/>
      <c r="AN7" s="43"/>
    </row>
    <row r="8" spans="1:40" s="44" customFormat="1" ht="18" customHeight="1" x14ac:dyDescent="0.2">
      <c r="B8" s="45"/>
      <c r="C8" s="55" t="s">
        <v>314</v>
      </c>
      <c r="D8" s="55"/>
      <c r="E8" s="55"/>
      <c r="F8" s="55"/>
      <c r="G8" s="1090"/>
      <c r="H8" s="1087">
        <v>10.7</v>
      </c>
      <c r="I8" s="545">
        <v>10.7</v>
      </c>
      <c r="J8" s="545">
        <v>10.7</v>
      </c>
      <c r="K8" s="545">
        <v>10.7</v>
      </c>
      <c r="L8" s="545">
        <v>10.7</v>
      </c>
      <c r="M8" s="546">
        <f>IF($AI$5=1,HLOOKUP($M$2,H8:L11,1),0)</f>
        <v>10.7</v>
      </c>
      <c r="N8" s="7"/>
      <c r="O8" s="7"/>
      <c r="AH8" s="771"/>
      <c r="AI8" s="771"/>
      <c r="AJ8" s="771"/>
      <c r="AK8" s="771"/>
      <c r="AL8" s="771"/>
      <c r="AM8" s="771"/>
    </row>
    <row r="9" spans="1:40" s="44" customFormat="1" ht="18" customHeight="1" x14ac:dyDescent="0.2">
      <c r="B9" s="92"/>
      <c r="C9" s="3" t="s">
        <v>438</v>
      </c>
      <c r="D9" s="3"/>
      <c r="E9" s="3"/>
      <c r="F9" s="3"/>
      <c r="G9" s="1091"/>
      <c r="H9" s="1088">
        <v>7</v>
      </c>
      <c r="I9" s="547">
        <v>7</v>
      </c>
      <c r="J9" s="547">
        <v>7</v>
      </c>
      <c r="K9" s="547">
        <v>7</v>
      </c>
      <c r="L9" s="547">
        <v>7</v>
      </c>
      <c r="M9" s="548">
        <f>IF($AI$5=1,HLOOKUP($M$2,H8:L11,2),0)</f>
        <v>7</v>
      </c>
      <c r="N9" s="7"/>
      <c r="O9" s="7"/>
      <c r="W9"/>
      <c r="X9"/>
      <c r="Y9"/>
      <c r="Z9"/>
      <c r="AA9"/>
      <c r="AB9"/>
      <c r="AC9"/>
      <c r="AD9"/>
      <c r="AE9"/>
      <c r="AF9"/>
      <c r="AG9"/>
    </row>
    <row r="10" spans="1:40" s="44" customFormat="1" ht="18" customHeight="1" x14ac:dyDescent="0.2">
      <c r="B10" s="92"/>
      <c r="C10" s="3" t="s">
        <v>303</v>
      </c>
      <c r="D10" s="3"/>
      <c r="E10" s="3"/>
      <c r="F10" s="3"/>
      <c r="G10" s="1091"/>
      <c r="H10" s="1088">
        <v>19</v>
      </c>
      <c r="I10" s="547">
        <v>19</v>
      </c>
      <c r="J10" s="547">
        <v>19</v>
      </c>
      <c r="K10" s="547">
        <v>19</v>
      </c>
      <c r="L10" s="547">
        <v>19</v>
      </c>
      <c r="M10" s="548">
        <f>IF($AI$5=1,HLOOKUP($M$2,H9:L12,2),0)</f>
        <v>19</v>
      </c>
      <c r="N10" s="7"/>
      <c r="O10" s="7"/>
      <c r="W10"/>
      <c r="X10"/>
      <c r="Y10"/>
      <c r="Z10"/>
      <c r="AA10"/>
      <c r="AB10"/>
      <c r="AC10"/>
      <c r="AD10"/>
      <c r="AE10"/>
      <c r="AF10"/>
      <c r="AG10"/>
    </row>
    <row r="11" spans="1:40" s="44" customFormat="1" ht="18" customHeight="1" x14ac:dyDescent="0.2">
      <c r="B11" s="549"/>
      <c r="C11" s="56" t="s">
        <v>304</v>
      </c>
      <c r="D11" s="56"/>
      <c r="E11" s="56"/>
      <c r="F11" s="56"/>
      <c r="G11" s="1092"/>
      <c r="H11" s="1089">
        <v>12</v>
      </c>
      <c r="I11" s="708">
        <v>12</v>
      </c>
      <c r="J11" s="708">
        <v>12</v>
      </c>
      <c r="K11" s="708">
        <v>12</v>
      </c>
      <c r="L11" s="708">
        <v>12</v>
      </c>
      <c r="M11" s="709">
        <f>IF($AI$5=1,HLOOKUP($M$2,H10:L12,2),0)</f>
        <v>12</v>
      </c>
      <c r="N11" s="7"/>
      <c r="O11" s="7"/>
      <c r="W11"/>
      <c r="X11"/>
      <c r="Y11"/>
      <c r="Z11"/>
      <c r="AA11"/>
      <c r="AB11"/>
      <c r="AC11"/>
      <c r="AD11"/>
      <c r="AE11"/>
      <c r="AF11"/>
      <c r="AG11"/>
    </row>
    <row r="12" spans="1:40" s="8" customFormat="1" ht="18.350000000000001" x14ac:dyDescent="0.2">
      <c r="A12" s="42"/>
      <c r="B12" s="2534"/>
      <c r="C12" s="33"/>
      <c r="D12" s="29"/>
      <c r="E12" s="29"/>
      <c r="F12" s="29"/>
      <c r="G12" s="29"/>
      <c r="H12" s="29"/>
      <c r="I12" s="29"/>
      <c r="J12" s="29"/>
      <c r="K12" s="29"/>
      <c r="L12" s="550" t="s">
        <v>306</v>
      </c>
      <c r="M12" s="2532">
        <f>M10</f>
        <v>19</v>
      </c>
      <c r="N12" s="7"/>
      <c r="O12"/>
      <c r="P12" s="43"/>
      <c r="Q12" s="43"/>
      <c r="R12" s="43"/>
      <c r="S12" s="43"/>
      <c r="T12" s="43"/>
      <c r="U12" s="43"/>
      <c r="V12" s="43"/>
      <c r="W12"/>
      <c r="X12"/>
      <c r="Y12"/>
      <c r="Z12"/>
      <c r="AA12"/>
      <c r="AB12"/>
      <c r="AC12"/>
      <c r="AD12"/>
      <c r="AE12"/>
      <c r="AF12"/>
      <c r="AG12"/>
      <c r="AH12" s="43"/>
      <c r="AI12" s="43"/>
      <c r="AJ12" s="43"/>
      <c r="AK12" s="43"/>
      <c r="AL12" s="43"/>
      <c r="AM12" s="43"/>
      <c r="AN12" s="43"/>
    </row>
    <row r="13" spans="1:40" s="8" customFormat="1" ht="18.350000000000001" x14ac:dyDescent="0.2">
      <c r="A13" s="42"/>
      <c r="B13" s="2527"/>
      <c r="C13" s="2533" t="s">
        <v>305</v>
      </c>
      <c r="D13" s="2528"/>
      <c r="E13" s="2528"/>
      <c r="F13" s="2528"/>
      <c r="G13" s="2528"/>
      <c r="H13" s="2529" t="s">
        <v>144</v>
      </c>
      <c r="I13" s="2530"/>
      <c r="J13" s="2530"/>
      <c r="K13" s="2530"/>
      <c r="L13" s="2531"/>
      <c r="M13" s="2532"/>
      <c r="N13" s="7"/>
      <c r="O13"/>
      <c r="P13" s="43"/>
      <c r="Q13" s="43"/>
      <c r="R13" s="43"/>
      <c r="S13" s="43"/>
      <c r="T13" s="43"/>
      <c r="U13" s="43"/>
      <c r="V13" s="43"/>
      <c r="W13"/>
      <c r="X13"/>
      <c r="Y13"/>
      <c r="Z13"/>
      <c r="AA13"/>
      <c r="AB13"/>
      <c r="AC13"/>
      <c r="AD13"/>
      <c r="AE13"/>
      <c r="AF13"/>
      <c r="AG13"/>
      <c r="AH13" s="43"/>
      <c r="AI13" s="43"/>
      <c r="AJ13" s="43"/>
      <c r="AK13" s="43"/>
      <c r="AL13" s="43"/>
      <c r="AM13" s="43"/>
      <c r="AN13" s="43"/>
    </row>
    <row r="14" spans="1:40" s="44" customFormat="1" ht="18" customHeight="1" x14ac:dyDescent="0.2">
      <c r="B14" s="1016"/>
      <c r="C14" s="55" t="s">
        <v>543</v>
      </c>
      <c r="D14" s="55"/>
      <c r="E14" s="1019"/>
      <c r="F14" s="55"/>
      <c r="G14" s="757" t="s">
        <v>206</v>
      </c>
      <c r="H14" s="1093">
        <v>3.25</v>
      </c>
      <c r="I14" s="751">
        <v>3.25</v>
      </c>
      <c r="J14" s="751">
        <v>3.25</v>
      </c>
      <c r="K14" s="751">
        <v>3</v>
      </c>
      <c r="L14" s="751">
        <v>3</v>
      </c>
      <c r="M14" s="2200">
        <f>HLOOKUP(M6,$H$14:$L$17,1)*(100+$M$12)/100</f>
        <v>3.57</v>
      </c>
      <c r="N14" s="7"/>
      <c r="O14"/>
      <c r="W14"/>
      <c r="X14"/>
      <c r="Y14"/>
      <c r="Z14" t="s">
        <v>1286</v>
      </c>
      <c r="AA14"/>
      <c r="AB14"/>
      <c r="AC14"/>
      <c r="AD14"/>
      <c r="AE14"/>
      <c r="AF14"/>
      <c r="AG14"/>
    </row>
    <row r="15" spans="1:40" s="46" customFormat="1" ht="18" customHeight="1" x14ac:dyDescent="0.2">
      <c r="B15" s="47"/>
      <c r="C15" s="3" t="s">
        <v>290</v>
      </c>
      <c r="D15" s="3"/>
      <c r="E15" s="1020"/>
      <c r="F15" s="3"/>
      <c r="G15" s="1096" t="s">
        <v>291</v>
      </c>
      <c r="H15" s="1094">
        <v>1.27</v>
      </c>
      <c r="I15" s="752">
        <v>1.27</v>
      </c>
      <c r="J15" s="752">
        <v>1.27</v>
      </c>
      <c r="K15" s="752">
        <v>2.1800000000000002</v>
      </c>
      <c r="L15" s="752">
        <v>2.1800000000000002</v>
      </c>
      <c r="M15" s="2201">
        <f>HLOOKUP($M$6,$H$14:$L$17,2)*(100+$M$12)/100</f>
        <v>2.5942000000000003</v>
      </c>
      <c r="N15" s="49"/>
      <c r="O15"/>
      <c r="W15"/>
      <c r="X15"/>
      <c r="Y15"/>
      <c r="Z15"/>
      <c r="AA15"/>
      <c r="AB15"/>
      <c r="AC15"/>
      <c r="AD15"/>
      <c r="AE15"/>
      <c r="AF15"/>
      <c r="AG15"/>
    </row>
    <row r="16" spans="1:40" s="46" customFormat="1" ht="18" customHeight="1" x14ac:dyDescent="0.2">
      <c r="B16" s="47"/>
      <c r="C16" s="3" t="s">
        <v>292</v>
      </c>
      <c r="D16" s="3"/>
      <c r="E16" s="1020"/>
      <c r="F16" s="3"/>
      <c r="G16" s="1096" t="s">
        <v>293</v>
      </c>
      <c r="H16" s="1094">
        <v>1.1499999999999999</v>
      </c>
      <c r="I16" s="752">
        <v>1.1499999999999999</v>
      </c>
      <c r="J16" s="752">
        <v>1.1499999999999999</v>
      </c>
      <c r="K16" s="752">
        <v>0.78</v>
      </c>
      <c r="L16" s="752">
        <v>0.78</v>
      </c>
      <c r="M16" s="2201">
        <f>HLOOKUP($M$6,$H$14:$L$17,3)*(100+$M$12)/100</f>
        <v>0.92820000000000003</v>
      </c>
      <c r="N16" s="49"/>
      <c r="O16"/>
      <c r="W16"/>
      <c r="X16"/>
      <c r="Y16"/>
      <c r="Z16"/>
      <c r="AA16"/>
      <c r="AB16"/>
      <c r="AC16"/>
      <c r="AD16"/>
      <c r="AE16"/>
      <c r="AF16"/>
      <c r="AG16"/>
    </row>
    <row r="17" spans="1:40" s="50" customFormat="1" ht="18" customHeight="1" x14ac:dyDescent="0.2">
      <c r="B17" s="52"/>
      <c r="C17" s="56" t="s">
        <v>294</v>
      </c>
      <c r="D17" s="56"/>
      <c r="E17" s="53"/>
      <c r="F17" s="56"/>
      <c r="G17" s="1097" t="s">
        <v>209</v>
      </c>
      <c r="H17" s="1095">
        <v>0.5</v>
      </c>
      <c r="I17" s="70">
        <v>0.5</v>
      </c>
      <c r="J17" s="70">
        <v>0.5</v>
      </c>
      <c r="K17" s="70">
        <v>1.66</v>
      </c>
      <c r="L17" s="70">
        <v>1.66</v>
      </c>
      <c r="M17" s="2202">
        <f>HLOOKUP($M$6,$H$14:$L$17,4)*(100+$M$12)/100</f>
        <v>1.9753999999999998</v>
      </c>
      <c r="N17" s="49"/>
      <c r="O17"/>
      <c r="W17"/>
      <c r="X17"/>
      <c r="Y17"/>
      <c r="Z17"/>
      <c r="AA17"/>
      <c r="AB17"/>
      <c r="AC17"/>
      <c r="AD17"/>
      <c r="AE17"/>
      <c r="AF17"/>
      <c r="AG17"/>
    </row>
    <row r="18" spans="1:40" s="50" customFormat="1" ht="18" customHeight="1" thickBot="1" x14ac:dyDescent="0.3">
      <c r="B18" s="2296" t="s">
        <v>954</v>
      </c>
      <c r="C18" s="2296"/>
      <c r="D18" s="2296"/>
      <c r="E18" s="2296"/>
      <c r="F18" s="2296"/>
      <c r="G18" s="2296"/>
      <c r="H18" s="2296"/>
      <c r="I18" s="2296"/>
      <c r="J18" s="2296"/>
      <c r="K18" s="2296"/>
      <c r="L18" s="2296"/>
      <c r="M18" s="2296"/>
      <c r="N18" s="49"/>
      <c r="O18"/>
    </row>
    <row r="19" spans="1:40" s="50" customFormat="1" ht="18" customHeight="1" thickTop="1" x14ac:dyDescent="0.2">
      <c r="B19" s="2230"/>
      <c r="C19" s="2704"/>
      <c r="D19" s="2704"/>
      <c r="E19" s="2704"/>
      <c r="F19" s="2705"/>
      <c r="G19" s="2706"/>
      <c r="H19" s="2707"/>
      <c r="I19" s="2707"/>
      <c r="J19" s="2707"/>
      <c r="K19" s="2707"/>
      <c r="L19" s="2708"/>
      <c r="M19" s="2709"/>
      <c r="N19" s="49"/>
      <c r="O19"/>
    </row>
    <row r="20" spans="1:40" s="50" customFormat="1" ht="14.95" customHeight="1" x14ac:dyDescent="0.2">
      <c r="B20" s="2234"/>
      <c r="C20" s="2235" t="s">
        <v>695</v>
      </c>
      <c r="D20" s="2710"/>
      <c r="E20" s="2710"/>
      <c r="F20" s="2711"/>
      <c r="G20" s="2712"/>
      <c r="H20" s="2713"/>
      <c r="I20" s="2713"/>
      <c r="J20" s="2713"/>
      <c r="K20" s="2713"/>
      <c r="L20" s="2714"/>
      <c r="M20" s="2715"/>
      <c r="N20" s="1312"/>
      <c r="O20" s="2231"/>
      <c r="P20" s="44"/>
      <c r="Q20" s="44"/>
      <c r="R20" s="44"/>
      <c r="S20" s="2232" t="s">
        <v>692</v>
      </c>
      <c r="T20" s="2232" t="s">
        <v>693</v>
      </c>
      <c r="U20" s="2233"/>
      <c r="V20" s="736" t="s">
        <v>694</v>
      </c>
      <c r="W20" s="736"/>
      <c r="X20" s="736"/>
      <c r="Y20" s="2297"/>
    </row>
    <row r="21" spans="1:40" s="50" customFormat="1" ht="20.75" customHeight="1" x14ac:dyDescent="0.35">
      <c r="B21" s="2234"/>
      <c r="C21" s="2238" t="s">
        <v>951</v>
      </c>
      <c r="D21" s="2710"/>
      <c r="E21" s="2710"/>
      <c r="F21" s="2711"/>
      <c r="G21" s="2712"/>
      <c r="H21" s="2716" t="s">
        <v>952</v>
      </c>
      <c r="I21" s="2713"/>
      <c r="J21" s="2716" t="s">
        <v>953</v>
      </c>
      <c r="K21" s="2713"/>
      <c r="L21" s="2239"/>
      <c r="M21" s="2715"/>
      <c r="N21" s="1312"/>
      <c r="O21" s="2231"/>
      <c r="P21" s="44"/>
      <c r="Q21" s="44"/>
      <c r="R21" s="44"/>
      <c r="S21" s="2232"/>
      <c r="T21" s="2232"/>
      <c r="U21" s="2233"/>
      <c r="V21" s="2233"/>
      <c r="W21" s="2233"/>
      <c r="X21" s="2233"/>
    </row>
    <row r="22" spans="1:40" s="50" customFormat="1" ht="19.2" customHeight="1" thickBot="1" x14ac:dyDescent="0.25">
      <c r="B22" s="2234"/>
      <c r="C22" s="2238"/>
      <c r="D22" s="2238"/>
      <c r="E22" s="2238"/>
      <c r="F22" s="2241">
        <f>IF(AND($S$23=TRUE,$S$25=TRUE),$V$20,IF(AND($S$23=FALSE,$S$25=FALSE),,0))</f>
        <v>0</v>
      </c>
      <c r="G22" s="2241"/>
      <c r="H22" s="2717"/>
      <c r="I22" s="2717"/>
      <c r="J22" s="2713"/>
      <c r="K22" s="2718"/>
      <c r="L22" s="2239"/>
      <c r="M22" s="2715"/>
      <c r="N22" s="1312"/>
      <c r="O22" s="2236"/>
      <c r="P22" s="2237"/>
      <c r="Q22" s="2237"/>
      <c r="R22" s="44"/>
      <c r="S22" s="2232" t="b">
        <v>0</v>
      </c>
      <c r="T22" s="2232"/>
      <c r="U22" s="2233"/>
      <c r="V22" s="2233"/>
      <c r="W22" s="2233"/>
      <c r="X22" s="2233"/>
    </row>
    <row r="23" spans="1:40" s="50" customFormat="1" ht="34.15" customHeight="1" thickTop="1" x14ac:dyDescent="0.25">
      <c r="B23" s="3276" t="s">
        <v>1236</v>
      </c>
      <c r="C23" s="3276"/>
      <c r="D23" s="3276"/>
      <c r="E23" s="3276"/>
      <c r="F23" s="3276"/>
      <c r="G23" s="3276"/>
      <c r="H23" s="3276"/>
      <c r="I23" s="3276"/>
      <c r="J23" s="3276"/>
      <c r="K23" s="3276"/>
      <c r="L23" s="3276"/>
      <c r="M23" s="2331"/>
      <c r="N23" s="1312"/>
      <c r="O23" s="2231"/>
      <c r="P23" s="44"/>
      <c r="Q23" s="44"/>
      <c r="R23" s="44"/>
      <c r="S23" s="2240" t="b">
        <v>1</v>
      </c>
      <c r="T23" s="2232"/>
      <c r="U23" s="2233"/>
      <c r="V23" s="2233"/>
      <c r="W23" s="2233"/>
      <c r="X23" s="2233"/>
    </row>
    <row r="24" spans="1:40" s="50" customFormat="1" ht="7.5" hidden="1" customHeight="1" x14ac:dyDescent="0.2">
      <c r="M24" s="2332"/>
      <c r="N24" s="1312"/>
      <c r="O24" s="2231"/>
      <c r="P24" s="44"/>
      <c r="Q24" s="44"/>
      <c r="R24" s="44"/>
      <c r="S24" s="2240"/>
      <c r="T24" s="2232"/>
      <c r="U24" s="2233"/>
      <c r="V24" s="2233"/>
      <c r="W24" s="2233"/>
      <c r="X24" s="2233"/>
    </row>
    <row r="25" spans="1:40" s="50" customFormat="1" ht="18" hidden="1" customHeight="1" x14ac:dyDescent="0.2">
      <c r="M25" s="2331"/>
      <c r="N25" s="1312"/>
      <c r="O25" s="2231"/>
      <c r="P25" s="44"/>
      <c r="Q25" s="44"/>
      <c r="R25" s="44"/>
      <c r="S25" s="2240" t="b">
        <v>0</v>
      </c>
      <c r="T25" s="2232"/>
      <c r="U25" s="2233"/>
      <c r="V25" s="2233"/>
      <c r="W25" s="2233"/>
      <c r="X25" s="2233"/>
    </row>
    <row r="26" spans="1:40" s="50" customFormat="1" ht="11.25" hidden="1" customHeight="1" x14ac:dyDescent="0.2">
      <c r="M26" s="2330"/>
      <c r="N26" s="1312"/>
      <c r="O26" s="2231"/>
      <c r="P26" s="44"/>
      <c r="Q26" s="44"/>
      <c r="R26" s="44"/>
      <c r="S26" s="44"/>
      <c r="T26" s="44"/>
      <c r="U26" s="2233"/>
      <c r="V26" s="2233"/>
      <c r="W26" s="2233"/>
      <c r="X26" s="2233"/>
    </row>
    <row r="27" spans="1:40" s="50" customFormat="1" ht="29.9" hidden="1" customHeight="1" x14ac:dyDescent="0.2">
      <c r="M27" s="1937"/>
      <c r="N27" s="1312"/>
      <c r="O27" s="2231"/>
      <c r="P27" s="44"/>
      <c r="Q27" s="44"/>
      <c r="R27" s="44"/>
      <c r="S27" s="44"/>
      <c r="T27" s="44"/>
      <c r="U27" s="2233"/>
      <c r="V27" s="2233"/>
      <c r="W27" s="2233"/>
      <c r="X27" s="2233"/>
    </row>
    <row r="28" spans="1:40" s="50" customFormat="1" ht="13.6" customHeight="1" x14ac:dyDescent="0.25">
      <c r="B28" s="2296"/>
      <c r="C28" s="2296"/>
      <c r="D28" s="2296"/>
      <c r="E28" s="2296"/>
      <c r="F28" s="2296"/>
      <c r="G28" s="2296"/>
      <c r="H28" s="2296"/>
      <c r="I28" s="2296"/>
      <c r="J28"/>
      <c r="K28"/>
      <c r="L28"/>
      <c r="M28"/>
      <c r="N28" s="1312"/>
      <c r="O28" s="2231"/>
      <c r="P28" s="44"/>
      <c r="Q28" s="44"/>
      <c r="R28" s="44"/>
      <c r="S28" s="44"/>
      <c r="T28" s="44"/>
      <c r="U28" s="2233"/>
      <c r="V28" s="2233"/>
      <c r="W28" s="2233"/>
      <c r="X28" s="2233"/>
    </row>
    <row r="29" spans="1:40" s="8" customFormat="1" ht="22.6" customHeight="1" x14ac:dyDescent="0.2">
      <c r="A29" s="42"/>
      <c r="B29" s="57"/>
      <c r="C29" s="222"/>
      <c r="D29" s="222"/>
      <c r="E29" s="58"/>
      <c r="F29" s="58"/>
      <c r="G29" s="58"/>
      <c r="H29" s="2199" t="s">
        <v>283</v>
      </c>
      <c r="I29" s="59"/>
      <c r="J29" s="59"/>
      <c r="K29" s="59"/>
      <c r="L29" s="64"/>
      <c r="M29" s="2203" t="s">
        <v>310</v>
      </c>
      <c r="N29" s="7"/>
      <c r="O29" s="7"/>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row>
    <row r="30" spans="1:40" s="8" customFormat="1" ht="21.25" customHeight="1" x14ac:dyDescent="0.2">
      <c r="A30" s="42"/>
      <c r="B30" s="60"/>
      <c r="C30" s="7"/>
      <c r="D30" s="7"/>
      <c r="E30" s="7"/>
      <c r="F30" s="7"/>
      <c r="G30" s="7"/>
      <c r="H30" s="62">
        <v>2014</v>
      </c>
      <c r="I30" s="62">
        <v>2015</v>
      </c>
      <c r="J30" s="63">
        <v>2016</v>
      </c>
      <c r="K30" s="63">
        <v>2017</v>
      </c>
      <c r="L30" s="63">
        <v>2018</v>
      </c>
      <c r="M30" s="474">
        <f>M2</f>
        <v>2018</v>
      </c>
      <c r="N30"/>
      <c r="O30"/>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row>
    <row r="31" spans="1:40" s="8" customFormat="1" ht="21.25" customHeight="1" x14ac:dyDescent="0.2">
      <c r="A31" s="42"/>
      <c r="B31" s="2527"/>
      <c r="C31" s="2533" t="s">
        <v>1048</v>
      </c>
      <c r="D31" s="2528"/>
      <c r="E31" s="2528"/>
      <c r="F31" s="2528"/>
      <c r="G31" s="2528"/>
      <c r="H31" s="2529" t="s">
        <v>889</v>
      </c>
      <c r="I31" s="2530"/>
      <c r="J31" s="2530"/>
      <c r="K31" s="2530"/>
      <c r="L31" s="2531"/>
      <c r="M31" s="2532"/>
      <c r="N31"/>
      <c r="O31"/>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row>
    <row r="32" spans="1:40" s="44" customFormat="1" ht="15.65" x14ac:dyDescent="0.2">
      <c r="B32" s="1016"/>
      <c r="C32" s="55" t="s">
        <v>295</v>
      </c>
      <c r="D32" s="55"/>
      <c r="E32" s="55"/>
      <c r="F32" s="55"/>
      <c r="G32" s="222"/>
      <c r="H32" s="1037">
        <v>3</v>
      </c>
      <c r="I32" s="751">
        <v>2</v>
      </c>
      <c r="J32" s="751">
        <v>2</v>
      </c>
      <c r="K32" s="66">
        <v>1.5</v>
      </c>
      <c r="L32" s="66">
        <v>1.5</v>
      </c>
      <c r="M32" s="475">
        <f>IF($M$30=$H$30,H32,IF($M$30=$I$30,I32,IF($M$30=$J$30,J32,IF($M$30=$K$30,K32,IF($M$30=$L$30,L32,0)))))</f>
        <v>1.5</v>
      </c>
      <c r="N32" t="s">
        <v>634</v>
      </c>
      <c r="O32"/>
    </row>
    <row r="33" spans="1:39" s="46" customFormat="1" ht="15.65" x14ac:dyDescent="0.2">
      <c r="B33" s="47"/>
      <c r="C33" s="3" t="s">
        <v>296</v>
      </c>
      <c r="D33" s="3"/>
      <c r="E33" s="3"/>
      <c r="F33" s="3"/>
      <c r="G33" s="8"/>
      <c r="H33" s="1038">
        <v>3</v>
      </c>
      <c r="I33" s="752">
        <v>2</v>
      </c>
      <c r="J33" s="752">
        <v>2</v>
      </c>
      <c r="K33" s="68">
        <v>1.5</v>
      </c>
      <c r="L33" s="68">
        <v>1.5</v>
      </c>
      <c r="M33" s="476">
        <f>IF($M$30=$H$30,H33,IF($M$30=$I$30,I33,IF($M$30=$J$30,J33,IF($M$30=$K$30,K33,IF($M$30=$L$30,L33,0)))))</f>
        <v>1.5</v>
      </c>
      <c r="N33"/>
      <c r="O33"/>
    </row>
    <row r="34" spans="1:39" s="46" customFormat="1" ht="15.65" x14ac:dyDescent="0.2">
      <c r="B34" s="47"/>
      <c r="C34" s="3" t="s">
        <v>962</v>
      </c>
      <c r="D34" s="3"/>
      <c r="E34" s="3"/>
      <c r="F34" s="3"/>
      <c r="G34" s="8"/>
      <c r="H34" s="1038">
        <v>4</v>
      </c>
      <c r="I34" s="752">
        <v>3</v>
      </c>
      <c r="J34" s="752">
        <v>3</v>
      </c>
      <c r="K34" s="68">
        <v>2.5</v>
      </c>
      <c r="L34" s="68">
        <v>2.5</v>
      </c>
      <c r="M34" s="476">
        <f>IF($M$30=$H$30,H34,IF($M$30=$I$30,I34,IF($M$30=$J$30,J34,IF($M$30=$K$30,K34,IF($M$30=$L$30,L34,0)))))</f>
        <v>2.5</v>
      </c>
      <c r="N34"/>
      <c r="O34"/>
    </row>
    <row r="35" spans="1:39" s="46" customFormat="1" ht="15.65" x14ac:dyDescent="0.2">
      <c r="B35" s="47"/>
      <c r="C35" s="73"/>
      <c r="D35" s="73"/>
      <c r="E35" s="3"/>
      <c r="F35" s="3"/>
      <c r="G35" s="8"/>
      <c r="H35" s="1038"/>
      <c r="I35" s="752"/>
      <c r="J35" s="752"/>
      <c r="K35" s="68"/>
      <c r="L35" s="69"/>
      <c r="M35" s="476">
        <f>IF($M$30=$H$30,H35,IF($M$30=$I$30,I35,IF($M$30=$J$30,J35,IF($M$30=$K$30,K35,IF($M$30=$L$30,L35,0)))))</f>
        <v>0</v>
      </c>
      <c r="N35"/>
      <c r="O35"/>
    </row>
    <row r="36" spans="1:39" s="8" customFormat="1" ht="18.7" customHeight="1" x14ac:dyDescent="0.2">
      <c r="A36" s="42"/>
      <c r="B36" s="2527"/>
      <c r="C36" s="2533" t="s">
        <v>297</v>
      </c>
      <c r="D36" s="2528"/>
      <c r="E36" s="2528"/>
      <c r="F36" s="2528"/>
      <c r="G36" s="2528"/>
      <c r="H36" s="2529" t="s">
        <v>890</v>
      </c>
      <c r="I36" s="2530"/>
      <c r="J36" s="2530"/>
      <c r="K36" s="2530"/>
      <c r="L36" s="2531"/>
      <c r="M36" s="2532"/>
      <c r="N36" s="7"/>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row>
    <row r="37" spans="1:39" s="44" customFormat="1" ht="15.65" x14ac:dyDescent="0.2">
      <c r="B37" s="2204"/>
      <c r="C37" s="630" t="s">
        <v>298</v>
      </c>
      <c r="D37" s="630"/>
      <c r="E37" s="630"/>
      <c r="F37" s="630"/>
      <c r="G37" s="265"/>
      <c r="H37" s="1039">
        <v>15</v>
      </c>
      <c r="I37" s="1040">
        <v>15.25</v>
      </c>
      <c r="J37" s="1040">
        <v>15.5</v>
      </c>
      <c r="K37" s="631">
        <v>16.5</v>
      </c>
      <c r="L37" s="632">
        <v>16.5</v>
      </c>
      <c r="M37" s="633">
        <f>IF($M$30=$H$30,H37,IF($M$30=$I$30,I37,IF($M$30=$J$30,J37,IF($M$30=$K$30,K37,IF($M$30=$L$30,L37,0)))))</f>
        <v>16.5</v>
      </c>
      <c r="N37" s="7" t="s">
        <v>635</v>
      </c>
      <c r="O37" s="7"/>
    </row>
    <row r="38" spans="1:39" x14ac:dyDescent="0.2">
      <c r="A38"/>
      <c r="C38"/>
      <c r="D38"/>
      <c r="E38"/>
      <c r="F38"/>
      <c r="G38"/>
      <c r="H38"/>
      <c r="I38"/>
      <c r="J38"/>
      <c r="K38"/>
      <c r="L38"/>
    </row>
    <row r="39" spans="1:39" ht="15.65" x14ac:dyDescent="0.2">
      <c r="A39"/>
      <c r="C39"/>
      <c r="D39"/>
      <c r="E39"/>
      <c r="F39"/>
      <c r="G39"/>
      <c r="H39"/>
      <c r="I39"/>
      <c r="J39" s="29"/>
      <c r="L39" s="550" t="s">
        <v>306</v>
      </c>
      <c r="M39" s="2541">
        <f>M10</f>
        <v>19</v>
      </c>
      <c r="W39" s="1106"/>
    </row>
    <row r="40" spans="1:39" ht="15.65" x14ac:dyDescent="0.2">
      <c r="A40"/>
      <c r="B40" s="3270" t="s">
        <v>891</v>
      </c>
      <c r="C40" s="3271"/>
      <c r="D40" s="3271"/>
      <c r="E40" s="3271"/>
      <c r="F40" s="3271"/>
      <c r="G40" s="3272"/>
      <c r="H40" s="2537" t="s">
        <v>283</v>
      </c>
      <c r="I40" s="2538"/>
      <c r="J40" s="2538"/>
      <c r="K40" s="2538"/>
      <c r="L40" s="2539"/>
      <c r="M40" s="2540" t="s">
        <v>310</v>
      </c>
      <c r="W40" s="1106"/>
    </row>
    <row r="41" spans="1:39" ht="18.7" customHeight="1" x14ac:dyDescent="0.2">
      <c r="A41">
        <v>1</v>
      </c>
      <c r="B41" s="3273"/>
      <c r="C41" s="3274"/>
      <c r="D41" s="3274"/>
      <c r="E41" s="3274"/>
      <c r="F41" s="3274"/>
      <c r="G41" s="3275"/>
      <c r="H41" s="2502">
        <v>2014</v>
      </c>
      <c r="I41" s="2502">
        <v>2015</v>
      </c>
      <c r="J41" s="63">
        <v>2016</v>
      </c>
      <c r="K41" s="63">
        <v>2017</v>
      </c>
      <c r="L41" s="63">
        <v>2018</v>
      </c>
      <c r="M41" s="3033">
        <f>M2</f>
        <v>2018</v>
      </c>
    </row>
    <row r="42" spans="1:39" ht="18.350000000000001" x14ac:dyDescent="0.2">
      <c r="A42">
        <f>1+A41</f>
        <v>2</v>
      </c>
      <c r="B42" s="2527"/>
      <c r="C42" s="2533" t="s">
        <v>881</v>
      </c>
      <c r="D42" s="2528"/>
      <c r="E42" s="2528"/>
      <c r="F42" s="2528"/>
      <c r="G42" s="2528"/>
      <c r="H42" s="2529"/>
      <c r="I42" s="2530" t="s">
        <v>154</v>
      </c>
      <c r="J42" s="2530"/>
      <c r="K42" s="2530"/>
      <c r="L42" s="2531"/>
      <c r="M42" s="2532"/>
    </row>
    <row r="43" spans="1:39" ht="15.65" x14ac:dyDescent="0.2">
      <c r="A43">
        <f>1+A42</f>
        <v>3</v>
      </c>
      <c r="B43" s="1011"/>
      <c r="C43" s="451" t="s">
        <v>537</v>
      </c>
      <c r="D43" s="451"/>
      <c r="E43" s="451"/>
      <c r="F43" s="451"/>
      <c r="G43" s="1012" t="s">
        <v>154</v>
      </c>
      <c r="H43" s="1041">
        <v>70</v>
      </c>
      <c r="I43" s="751">
        <v>70</v>
      </c>
      <c r="J43" s="751">
        <v>70</v>
      </c>
      <c r="K43" s="751">
        <v>70</v>
      </c>
      <c r="L43" s="67">
        <v>70</v>
      </c>
      <c r="M43" s="475">
        <f>HLOOKUP($M$41,$H$41:$L$62,$A43)*(100+$M$39)/100</f>
        <v>83.3</v>
      </c>
      <c r="Z43" s="405" t="s">
        <v>1371</v>
      </c>
    </row>
    <row r="44" spans="1:39" ht="15.65" x14ac:dyDescent="0.2">
      <c r="A44">
        <f t="shared" ref="A44:A61" si="0">1+A43</f>
        <v>4</v>
      </c>
      <c r="B44" s="1013"/>
      <c r="C44" s="3024" t="s">
        <v>1255</v>
      </c>
      <c r="D44" s="78"/>
      <c r="E44" s="78"/>
      <c r="F44" s="78"/>
      <c r="G44" s="464" t="s">
        <v>154</v>
      </c>
      <c r="H44" s="1042">
        <v>55</v>
      </c>
      <c r="I44" s="752">
        <v>55</v>
      </c>
      <c r="J44" s="752">
        <v>55</v>
      </c>
      <c r="K44" s="752">
        <v>55</v>
      </c>
      <c r="L44" s="69">
        <v>55</v>
      </c>
      <c r="M44" s="476">
        <f>HLOOKUP($M$41,$H$41:$L$62,$A44)*(100+$M$39)/100</f>
        <v>65.45</v>
      </c>
    </row>
    <row r="45" spans="1:39" ht="15.65" x14ac:dyDescent="0.2">
      <c r="A45">
        <f t="shared" si="0"/>
        <v>5</v>
      </c>
      <c r="B45" s="1013"/>
      <c r="C45" s="78"/>
      <c r="D45" s="78"/>
      <c r="E45" s="78"/>
      <c r="F45" s="78"/>
      <c r="G45" s="464"/>
      <c r="H45" s="1042"/>
      <c r="I45" s="752"/>
      <c r="J45" s="752"/>
      <c r="K45" s="752"/>
      <c r="L45" s="69"/>
      <c r="M45" s="476">
        <f>HLOOKUP($M$41,$H$41:$L$62,$A45)*(100+$M$39)/100</f>
        <v>0</v>
      </c>
    </row>
    <row r="46" spans="1:39" ht="18" customHeight="1" x14ac:dyDescent="0.2">
      <c r="A46">
        <f t="shared" si="0"/>
        <v>6</v>
      </c>
      <c r="B46" s="2535"/>
      <c r="C46" s="2533" t="s">
        <v>882</v>
      </c>
      <c r="D46" s="2528"/>
      <c r="E46" s="2528"/>
      <c r="F46" s="2528"/>
      <c r="G46" s="2528"/>
      <c r="H46" s="2529"/>
      <c r="I46" s="2530" t="s">
        <v>154</v>
      </c>
      <c r="J46" s="2530"/>
      <c r="K46" s="2530"/>
      <c r="L46" s="2531"/>
      <c r="M46" s="2532"/>
    </row>
    <row r="47" spans="1:39" ht="64.55" x14ac:dyDescent="0.2">
      <c r="A47">
        <f t="shared" si="0"/>
        <v>7</v>
      </c>
      <c r="B47" s="1013"/>
      <c r="C47" s="78" t="s">
        <v>1</v>
      </c>
      <c r="D47" s="78"/>
      <c r="E47" s="78"/>
      <c r="F47" s="78"/>
      <c r="G47" s="464" t="s">
        <v>154</v>
      </c>
      <c r="H47" s="1042">
        <v>30</v>
      </c>
      <c r="I47" s="752">
        <v>30</v>
      </c>
      <c r="J47" s="752">
        <v>30</v>
      </c>
      <c r="K47" s="752">
        <v>23</v>
      </c>
      <c r="L47" s="69">
        <v>28</v>
      </c>
      <c r="M47" s="476">
        <f>HLOOKUP($M$41,$H$41:$L$62,$A47)*(100+$M$39)/100</f>
        <v>33.32</v>
      </c>
      <c r="Z47" s="3098" t="s">
        <v>1351</v>
      </c>
    </row>
    <row r="48" spans="1:39" ht="18.7" customHeight="1" x14ac:dyDescent="0.2">
      <c r="A48">
        <f t="shared" si="0"/>
        <v>8</v>
      </c>
      <c r="B48" s="1013"/>
      <c r="C48" s="78" t="s">
        <v>2</v>
      </c>
      <c r="D48" s="78"/>
      <c r="E48" s="78"/>
      <c r="F48" s="78"/>
      <c r="G48" s="464" t="s">
        <v>154</v>
      </c>
      <c r="H48" s="1042">
        <v>43</v>
      </c>
      <c r="I48" s="752">
        <v>43</v>
      </c>
      <c r="J48" s="752">
        <v>43</v>
      </c>
      <c r="K48" s="752">
        <v>34</v>
      </c>
      <c r="L48" s="69">
        <v>41</v>
      </c>
      <c r="M48" s="476">
        <f>HLOOKUP($M$41,$H$41:$L$62,$A48)*(100+$M$39)/100</f>
        <v>48.79</v>
      </c>
    </row>
    <row r="49" spans="1:26" ht="15.65" x14ac:dyDescent="0.2">
      <c r="A49">
        <f t="shared" si="0"/>
        <v>9</v>
      </c>
      <c r="B49" s="1013"/>
      <c r="C49" s="78" t="s">
        <v>87</v>
      </c>
      <c r="D49" s="78"/>
      <c r="E49" s="78"/>
      <c r="F49" s="78"/>
      <c r="G49" s="464"/>
      <c r="H49" s="1042">
        <v>50</v>
      </c>
      <c r="I49" s="752">
        <v>50</v>
      </c>
      <c r="J49" s="752">
        <v>50</v>
      </c>
      <c r="K49" s="752">
        <v>50</v>
      </c>
      <c r="L49" s="69">
        <v>50</v>
      </c>
      <c r="M49" s="476">
        <f>HLOOKUP($M$41,$H$41:$L$62,$A49)*(100+$M$39)/100</f>
        <v>59.5</v>
      </c>
    </row>
    <row r="50" spans="1:26" ht="15.65" x14ac:dyDescent="0.2">
      <c r="A50">
        <f t="shared" si="0"/>
        <v>10</v>
      </c>
      <c r="B50" s="3063"/>
      <c r="C50" s="65"/>
      <c r="D50" s="65"/>
      <c r="E50" s="81"/>
      <c r="F50" s="81"/>
      <c r="G50" s="3064"/>
      <c r="H50" s="1043"/>
      <c r="I50" s="70"/>
      <c r="J50" s="70"/>
      <c r="K50" s="70"/>
      <c r="L50" s="753"/>
      <c r="M50" s="477">
        <f>HLOOKUP($M$41,$H$41:$L$62,$A50)*(100+$M$39)/100</f>
        <v>0</v>
      </c>
    </row>
    <row r="51" spans="1:26" ht="18.350000000000001" hidden="1" x14ac:dyDescent="0.2">
      <c r="A51">
        <f t="shared" si="0"/>
        <v>11</v>
      </c>
      <c r="B51" s="2527"/>
      <c r="C51" s="2533"/>
      <c r="D51" s="2528"/>
      <c r="E51" s="2528"/>
      <c r="F51" s="2528"/>
      <c r="G51" s="2528"/>
      <c r="H51" s="2529"/>
      <c r="I51" s="2530"/>
      <c r="J51" s="2530"/>
      <c r="K51" s="2530"/>
      <c r="L51" s="2531"/>
      <c r="M51" s="2532"/>
    </row>
    <row r="52" spans="1:26" ht="15.65" hidden="1" x14ac:dyDescent="0.2">
      <c r="A52">
        <f t="shared" si="0"/>
        <v>12</v>
      </c>
      <c r="B52" s="1016"/>
      <c r="C52" s="55"/>
      <c r="D52" s="58"/>
      <c r="E52" s="58"/>
      <c r="F52" s="58"/>
      <c r="G52" s="58"/>
      <c r="H52" s="1041"/>
      <c r="I52" s="751"/>
      <c r="J52" s="751"/>
      <c r="K52" s="751"/>
      <c r="L52" s="67"/>
      <c r="M52" s="475"/>
    </row>
    <row r="53" spans="1:26" ht="15.65" hidden="1" x14ac:dyDescent="0.2">
      <c r="A53">
        <f t="shared" si="0"/>
        <v>13</v>
      </c>
      <c r="B53" s="1017"/>
      <c r="C53" s="3"/>
      <c r="H53" s="1042"/>
      <c r="I53" s="752"/>
      <c r="J53" s="752"/>
      <c r="K53" s="752"/>
      <c r="L53" s="69"/>
      <c r="M53" s="476"/>
    </row>
    <row r="54" spans="1:26" ht="15.65" hidden="1" x14ac:dyDescent="0.2">
      <c r="A54">
        <f t="shared" si="0"/>
        <v>14</v>
      </c>
      <c r="B54" s="1018"/>
      <c r="C54" s="56"/>
      <c r="D54" s="56"/>
      <c r="E54" s="56"/>
      <c r="F54" s="56"/>
      <c r="G54" s="219"/>
      <c r="H54" s="1043"/>
      <c r="I54" s="70"/>
      <c r="J54" s="70"/>
      <c r="K54" s="70"/>
      <c r="L54" s="753"/>
      <c r="M54" s="477"/>
    </row>
    <row r="55" spans="1:26" x14ac:dyDescent="0.2">
      <c r="A55">
        <f>1+A54</f>
        <v>15</v>
      </c>
      <c r="B55"/>
      <c r="C55"/>
      <c r="D55"/>
      <c r="E55"/>
      <c r="F55"/>
      <c r="G55"/>
      <c r="H55"/>
      <c r="I55"/>
      <c r="J55"/>
      <c r="K55"/>
      <c r="L55"/>
    </row>
    <row r="56" spans="1:26" ht="18.350000000000001" x14ac:dyDescent="0.2">
      <c r="A56">
        <f t="shared" si="0"/>
        <v>16</v>
      </c>
      <c r="B56" s="2527"/>
      <c r="C56" s="2533" t="s">
        <v>1278</v>
      </c>
      <c r="D56" s="2528"/>
      <c r="E56" s="2528"/>
      <c r="F56" s="2528"/>
      <c r="G56" s="2528"/>
      <c r="H56" s="2529"/>
      <c r="I56" s="2530" t="s">
        <v>299</v>
      </c>
      <c r="J56" s="2530"/>
      <c r="K56" s="2530"/>
      <c r="L56" s="2745" t="s">
        <v>306</v>
      </c>
      <c r="M56" s="2526">
        <f>M9</f>
        <v>7</v>
      </c>
    </row>
    <row r="57" spans="1:26" ht="15.65" x14ac:dyDescent="0.2">
      <c r="A57">
        <f t="shared" si="0"/>
        <v>17</v>
      </c>
      <c r="B57" s="1018"/>
      <c r="C57" s="56" t="s">
        <v>880</v>
      </c>
      <c r="D57" s="56"/>
      <c r="E57" s="56"/>
      <c r="F57" s="56"/>
      <c r="G57" s="219"/>
      <c r="H57" s="1043">
        <v>18</v>
      </c>
      <c r="I57" s="70">
        <v>20</v>
      </c>
      <c r="J57" s="70">
        <v>21</v>
      </c>
      <c r="K57" s="70">
        <v>16</v>
      </c>
      <c r="L57" s="753">
        <v>19</v>
      </c>
      <c r="M57" s="477">
        <f>HLOOKUP($M$41,$H$41:$L$62,$A57)*(100+$M$56)/100</f>
        <v>20.329999999999998</v>
      </c>
      <c r="Z57" s="405"/>
    </row>
    <row r="58" spans="1:26" x14ac:dyDescent="0.2">
      <c r="A58">
        <f t="shared" si="0"/>
        <v>18</v>
      </c>
      <c r="B58"/>
      <c r="C58"/>
      <c r="D58"/>
      <c r="E58"/>
      <c r="F58"/>
      <c r="G58"/>
      <c r="H58"/>
      <c r="I58"/>
      <c r="J58"/>
      <c r="K58"/>
      <c r="L58"/>
    </row>
    <row r="59" spans="1:26" ht="18.350000000000001" x14ac:dyDescent="0.2">
      <c r="A59">
        <f t="shared" si="0"/>
        <v>19</v>
      </c>
      <c r="B59" s="2527"/>
      <c r="C59" s="2533" t="s">
        <v>1031</v>
      </c>
      <c r="D59" s="2528"/>
      <c r="E59" s="2528"/>
      <c r="F59" s="2528"/>
      <c r="G59" s="2530" t="s">
        <v>1030</v>
      </c>
      <c r="H59" s="2746" t="s">
        <v>1032</v>
      </c>
      <c r="I59" s="2530"/>
      <c r="J59" s="2529" t="s">
        <v>1029</v>
      </c>
      <c r="K59" s="2530"/>
      <c r="L59" s="2531" t="s">
        <v>1047</v>
      </c>
      <c r="M59" s="2541">
        <v>19</v>
      </c>
      <c r="Z59" s="405" t="s">
        <v>1279</v>
      </c>
    </row>
    <row r="60" spans="1:26" ht="15.65" x14ac:dyDescent="0.2">
      <c r="A60">
        <f t="shared" si="0"/>
        <v>20</v>
      </c>
      <c r="B60" s="1017"/>
      <c r="C60" s="3" t="s">
        <v>1037</v>
      </c>
      <c r="D60" s="3"/>
      <c r="E60" s="3"/>
      <c r="G60" s="3100">
        <v>7</v>
      </c>
      <c r="H60" s="3100">
        <v>0.26</v>
      </c>
      <c r="I60" s="2751"/>
      <c r="J60" s="2752">
        <f>($G$60)*$H$60</f>
        <v>1.82</v>
      </c>
      <c r="K60" s="2751"/>
      <c r="L60" s="2751"/>
      <c r="M60" s="475">
        <f>$J$60*(100+M59)/100</f>
        <v>2.1657999999999999</v>
      </c>
      <c r="Z60" s="405" t="s">
        <v>1370</v>
      </c>
    </row>
    <row r="61" spans="1:26" ht="18" customHeight="1" x14ac:dyDescent="0.2">
      <c r="A61">
        <f t="shared" si="0"/>
        <v>21</v>
      </c>
      <c r="B61" s="1018"/>
      <c r="C61" s="218" t="s">
        <v>1038</v>
      </c>
      <c r="D61" s="56"/>
      <c r="E61" s="56"/>
      <c r="F61" s="74"/>
      <c r="G61" s="3101">
        <v>15</v>
      </c>
      <c r="H61" s="2753"/>
      <c r="I61" s="2754"/>
      <c r="J61" s="2755">
        <f>($G$61)*H60</f>
        <v>3.9000000000000004</v>
      </c>
      <c r="K61" s="2754"/>
      <c r="L61" s="2754"/>
      <c r="M61" s="477">
        <f>$J$61*(100+M59)/100</f>
        <v>4.641</v>
      </c>
    </row>
    <row r="62" spans="1:26" x14ac:dyDescent="0.2">
      <c r="A62"/>
      <c r="B62"/>
      <c r="C62"/>
      <c r="D62"/>
      <c r="E62"/>
      <c r="F62"/>
      <c r="G62"/>
      <c r="H62"/>
      <c r="I62"/>
      <c r="J62"/>
      <c r="K62"/>
      <c r="L62"/>
    </row>
    <row r="63" spans="1:26" x14ac:dyDescent="0.2">
      <c r="A63"/>
    </row>
    <row r="64" spans="1:26" ht="16.5" customHeight="1" x14ac:dyDescent="0.2">
      <c r="A64"/>
      <c r="B64" s="3065" t="s">
        <v>1260</v>
      </c>
      <c r="C64" s="3066"/>
      <c r="D64" s="3066"/>
      <c r="E64" s="3066"/>
      <c r="F64" s="3066"/>
      <c r="G64" s="3067"/>
      <c r="H64" s="3277" t="s">
        <v>649</v>
      </c>
      <c r="I64" s="3278"/>
      <c r="J64" s="3281" t="s">
        <v>650</v>
      </c>
      <c r="K64" s="3282"/>
      <c r="W64" s="3264" t="s">
        <v>1261</v>
      </c>
      <c r="X64" s="3265"/>
    </row>
    <row r="65" spans="1:26" ht="15.8" customHeight="1" x14ac:dyDescent="0.2">
      <c r="A65"/>
      <c r="B65" s="3068"/>
      <c r="C65" s="3069"/>
      <c r="D65" s="3069"/>
      <c r="E65" s="3069"/>
      <c r="F65" s="3069"/>
      <c r="G65" s="3070"/>
      <c r="H65" s="3279"/>
      <c r="I65" s="3280"/>
      <c r="J65" s="3283"/>
      <c r="K65" s="3284"/>
      <c r="W65" s="3266"/>
      <c r="X65" s="3267"/>
      <c r="Z65" s="405" t="s">
        <v>1294</v>
      </c>
    </row>
    <row r="66" spans="1:26" ht="16.5" customHeight="1" x14ac:dyDescent="0.2">
      <c r="A66"/>
      <c r="B66" s="2535" t="s">
        <v>883</v>
      </c>
      <c r="C66" s="2533"/>
      <c r="D66" s="2528"/>
      <c r="E66" s="2528"/>
      <c r="F66" s="2528"/>
      <c r="G66" s="2528"/>
      <c r="H66" s="2529" t="s">
        <v>144</v>
      </c>
      <c r="I66" s="2530"/>
      <c r="J66" s="2529" t="s">
        <v>147</v>
      </c>
      <c r="K66" s="2542"/>
      <c r="W66" s="3266"/>
      <c r="X66" s="3267"/>
      <c r="Z66" s="405" t="s">
        <v>1295</v>
      </c>
    </row>
    <row r="67" spans="1:26" ht="16.5" customHeight="1" x14ac:dyDescent="0.25">
      <c r="A67"/>
      <c r="B67" s="2194" t="s">
        <v>661</v>
      </c>
      <c r="C67" s="1035"/>
      <c r="D67" s="1035"/>
      <c r="E67" s="1035"/>
      <c r="F67" s="2208"/>
      <c r="G67" s="2205" t="s">
        <v>886</v>
      </c>
      <c r="H67" s="2208" t="s">
        <v>1263</v>
      </c>
      <c r="I67" s="3071"/>
      <c r="J67" s="2208" t="s">
        <v>885</v>
      </c>
      <c r="K67" s="2543"/>
      <c r="W67" s="3266"/>
      <c r="X67" s="3267"/>
    </row>
    <row r="68" spans="1:26" ht="15.65" x14ac:dyDescent="0.25">
      <c r="A68"/>
      <c r="B68" s="2194" t="s">
        <v>662</v>
      </c>
      <c r="C68" s="1035"/>
      <c r="D68" s="1035"/>
      <c r="E68" s="1035"/>
      <c r="F68" s="2207"/>
      <c r="G68" s="2205" t="s">
        <v>886</v>
      </c>
      <c r="H68" s="2208">
        <v>5.45</v>
      </c>
      <c r="I68" s="3071"/>
      <c r="J68" s="2208" t="s">
        <v>885</v>
      </c>
      <c r="K68" s="2205"/>
      <c r="W68" s="3266"/>
      <c r="X68" s="3267"/>
    </row>
    <row r="69" spans="1:26" ht="15.65" x14ac:dyDescent="0.25">
      <c r="A69"/>
      <c r="B69" s="2194"/>
      <c r="C69" s="1035"/>
      <c r="D69" s="1035"/>
      <c r="E69" s="1035"/>
      <c r="F69" s="2207"/>
      <c r="G69" s="2205"/>
      <c r="H69" s="2207"/>
      <c r="I69" s="2205"/>
      <c r="J69" s="2208"/>
      <c r="K69" s="2205"/>
      <c r="W69" s="3268"/>
      <c r="X69" s="3269"/>
    </row>
    <row r="70" spans="1:26" ht="15.65" x14ac:dyDescent="0.2">
      <c r="A70" s="163"/>
      <c r="B70" s="2535" t="s">
        <v>884</v>
      </c>
      <c r="C70" s="2533"/>
      <c r="D70" s="2528"/>
      <c r="E70" s="2528"/>
      <c r="F70" s="2528"/>
      <c r="G70" s="2528"/>
      <c r="H70" s="2529" t="s">
        <v>144</v>
      </c>
      <c r="I70" s="2530"/>
      <c r="J70" s="2529" t="s">
        <v>147</v>
      </c>
      <c r="K70" s="2995"/>
      <c r="L70"/>
    </row>
    <row r="71" spans="1:26" ht="15.65" x14ac:dyDescent="0.25">
      <c r="A71" s="163"/>
      <c r="B71" s="2194" t="s">
        <v>502</v>
      </c>
      <c r="C71" s="1035"/>
      <c r="D71" s="1035"/>
      <c r="E71" s="1035"/>
      <c r="F71" s="2208"/>
      <c r="G71" s="2205"/>
      <c r="H71" s="2208" t="s">
        <v>1401</v>
      </c>
      <c r="I71" s="2205"/>
      <c r="J71" s="3075" t="s">
        <v>1292</v>
      </c>
      <c r="K71" s="3071"/>
      <c r="L71"/>
      <c r="O71" s="405" t="s">
        <v>664</v>
      </c>
      <c r="R71" s="405" t="s">
        <v>666</v>
      </c>
      <c r="U71" s="405" t="s">
        <v>670</v>
      </c>
      <c r="Z71" s="405" t="s">
        <v>1400</v>
      </c>
    </row>
    <row r="72" spans="1:26" ht="15.65" x14ac:dyDescent="0.25">
      <c r="A72"/>
      <c r="B72" s="2194" t="s">
        <v>660</v>
      </c>
      <c r="C72" s="1035"/>
      <c r="D72" s="1035"/>
      <c r="E72" s="1035"/>
      <c r="F72" s="2208"/>
      <c r="G72" s="2205"/>
      <c r="H72" s="2208" t="s">
        <v>1402</v>
      </c>
      <c r="I72" s="2205"/>
      <c r="J72" s="3075" t="s">
        <v>1293</v>
      </c>
      <c r="K72" s="3071"/>
      <c r="L72"/>
      <c r="O72" s="405" t="s">
        <v>665</v>
      </c>
      <c r="R72" s="405" t="s">
        <v>667</v>
      </c>
    </row>
    <row r="73" spans="1:26" ht="15.8" customHeight="1" x14ac:dyDescent="0.25">
      <c r="A73"/>
      <c r="B73" s="2194" t="s">
        <v>1052</v>
      </c>
      <c r="C73" s="1035"/>
      <c r="D73" s="1035"/>
      <c r="E73" s="1035"/>
      <c r="F73" s="2208"/>
      <c r="G73" s="2205"/>
      <c r="H73" s="2208">
        <v>3.5</v>
      </c>
      <c r="I73" s="2205"/>
      <c r="J73" s="3076" t="s">
        <v>1288</v>
      </c>
      <c r="K73" s="2205"/>
      <c r="L73"/>
      <c r="O73" s="747" t="s">
        <v>672</v>
      </c>
    </row>
    <row r="74" spans="1:26" ht="15.8" customHeight="1" x14ac:dyDescent="0.25">
      <c r="B74" s="2194" t="s">
        <v>236</v>
      </c>
      <c r="C74" s="1035"/>
      <c r="D74" s="1035"/>
      <c r="E74" s="1035"/>
      <c r="F74" s="2194"/>
      <c r="G74" s="2776" t="s">
        <v>1051</v>
      </c>
      <c r="H74" s="2194" t="s">
        <v>1403</v>
      </c>
      <c r="I74" s="2205"/>
      <c r="J74" s="2777" t="s">
        <v>1106</v>
      </c>
      <c r="K74" s="3072"/>
      <c r="L74"/>
      <c r="O74" s="747"/>
    </row>
    <row r="75" spans="1:26" ht="15.65" x14ac:dyDescent="0.25">
      <c r="A75" s="1381"/>
      <c r="B75" s="2194" t="s">
        <v>182</v>
      </c>
      <c r="C75" s="1035"/>
      <c r="D75" s="1035"/>
      <c r="E75" s="1035"/>
      <c r="F75" s="2194"/>
      <c r="G75" s="2205"/>
      <c r="H75" s="2194">
        <v>0.72</v>
      </c>
      <c r="I75" s="3071"/>
      <c r="J75" s="2517" t="s">
        <v>1050</v>
      </c>
      <c r="K75" s="3071"/>
      <c r="L75"/>
      <c r="O75" s="747" t="s">
        <v>671</v>
      </c>
      <c r="R75" s="405"/>
    </row>
    <row r="76" spans="1:26" ht="16.5" customHeight="1" x14ac:dyDescent="0.25">
      <c r="A76"/>
      <c r="B76" s="2194" t="s">
        <v>668</v>
      </c>
      <c r="C76" s="1035"/>
      <c r="D76" s="1035"/>
      <c r="E76" s="1035"/>
      <c r="F76" s="2194"/>
      <c r="G76" s="2205"/>
      <c r="H76" s="2194">
        <v>0.79</v>
      </c>
      <c r="I76" s="2205"/>
      <c r="J76" s="2517" t="s">
        <v>1297</v>
      </c>
      <c r="K76" s="3071"/>
      <c r="L76"/>
      <c r="Z76" s="405" t="s">
        <v>1298</v>
      </c>
    </row>
    <row r="77" spans="1:26" ht="15.65" x14ac:dyDescent="0.25">
      <c r="A77"/>
      <c r="B77" s="2194" t="s">
        <v>1262</v>
      </c>
      <c r="C77" s="1035"/>
      <c r="D77" s="1035"/>
      <c r="E77" s="1035"/>
      <c r="F77" s="2194"/>
      <c r="G77" s="2205"/>
      <c r="H77" s="3034">
        <v>8.27</v>
      </c>
      <c r="I77" s="2205"/>
      <c r="J77" s="3077" t="s">
        <v>1287</v>
      </c>
      <c r="K77" s="3071"/>
      <c r="L77"/>
    </row>
    <row r="78" spans="1:26" ht="18" customHeight="1" x14ac:dyDescent="0.2">
      <c r="A78"/>
      <c r="B78" s="2535" t="s">
        <v>663</v>
      </c>
      <c r="C78" s="2533"/>
      <c r="D78" s="2528"/>
      <c r="E78" s="2528"/>
      <c r="F78" s="2528"/>
      <c r="G78" s="2528"/>
      <c r="H78" s="2529" t="s">
        <v>144</v>
      </c>
      <c r="I78" s="2530"/>
      <c r="J78" s="2529" t="s">
        <v>147</v>
      </c>
      <c r="K78" s="3073"/>
      <c r="L78"/>
    </row>
    <row r="79" spans="1:26" ht="20.25" customHeight="1" x14ac:dyDescent="0.25">
      <c r="A79"/>
      <c r="B79" s="2194" t="s">
        <v>651</v>
      </c>
      <c r="C79" s="1035"/>
      <c r="D79" s="1035"/>
      <c r="E79" s="1035"/>
      <c r="F79" s="2194"/>
      <c r="G79" s="2205"/>
      <c r="H79" s="2996">
        <v>0.72</v>
      </c>
      <c r="I79" s="2205"/>
      <c r="J79" s="2206" t="s">
        <v>1289</v>
      </c>
      <c r="K79" s="3071"/>
      <c r="L79"/>
    </row>
    <row r="80" spans="1:26" ht="15.65" x14ac:dyDescent="0.25">
      <c r="A80"/>
      <c r="B80" s="2194" t="s">
        <v>585</v>
      </c>
      <c r="C80" s="1035"/>
      <c r="D80" s="1035"/>
      <c r="E80" s="1035"/>
      <c r="F80" s="2207"/>
      <c r="G80" s="2205"/>
      <c r="H80" s="2997">
        <v>3.5</v>
      </c>
      <c r="I80" s="2205"/>
      <c r="J80" s="2206" t="s">
        <v>1290</v>
      </c>
      <c r="K80" s="3071"/>
      <c r="L80"/>
    </row>
    <row r="81" spans="1:26" ht="15.65" x14ac:dyDescent="0.25">
      <c r="A81"/>
      <c r="B81" s="2194" t="s">
        <v>652</v>
      </c>
      <c r="C81" s="1035"/>
      <c r="D81" s="1035"/>
      <c r="E81" s="1035"/>
      <c r="F81" s="2207"/>
      <c r="G81" s="2205"/>
      <c r="H81" s="2996">
        <v>1.3</v>
      </c>
      <c r="I81" s="2205"/>
      <c r="J81" s="2206">
        <v>98</v>
      </c>
      <c r="K81" s="2205"/>
      <c r="L81"/>
    </row>
    <row r="82" spans="1:26" ht="15.65" x14ac:dyDescent="0.25">
      <c r="A82"/>
      <c r="B82" s="2194" t="s">
        <v>653</v>
      </c>
      <c r="C82" s="1035"/>
      <c r="D82" s="1035"/>
      <c r="E82" s="1035"/>
      <c r="F82" s="2207"/>
      <c r="G82" s="2205"/>
      <c r="H82" s="2997">
        <v>1.3</v>
      </c>
      <c r="I82" s="2205"/>
      <c r="J82" s="2206">
        <v>200</v>
      </c>
      <c r="K82" s="2205"/>
      <c r="L82"/>
      <c r="Z82" s="405" t="s">
        <v>1299</v>
      </c>
    </row>
    <row r="83" spans="1:26" ht="16.5" customHeight="1" x14ac:dyDescent="0.25">
      <c r="A83" s="50"/>
      <c r="B83" s="2194" t="s">
        <v>654</v>
      </c>
      <c r="C83" s="1035"/>
      <c r="D83" s="1035"/>
      <c r="E83" s="1035"/>
      <c r="F83" s="2207"/>
      <c r="G83" s="2205"/>
      <c r="H83" s="2996">
        <v>3</v>
      </c>
      <c r="I83" s="2205"/>
      <c r="J83" s="2206">
        <v>50</v>
      </c>
      <c r="K83" s="2205"/>
      <c r="L83"/>
    </row>
    <row r="84" spans="1:26" ht="15.65" x14ac:dyDescent="0.25">
      <c r="A84" s="50"/>
      <c r="B84" s="2194" t="s">
        <v>655</v>
      </c>
      <c r="C84" s="1035"/>
      <c r="D84" s="1035"/>
      <c r="E84" s="1035"/>
      <c r="F84" s="2207"/>
      <c r="G84" s="2205"/>
      <c r="H84" s="2996">
        <v>9.92</v>
      </c>
      <c r="I84" s="2205"/>
      <c r="J84" s="2206">
        <v>70</v>
      </c>
      <c r="K84" s="2205"/>
      <c r="L84"/>
      <c r="Z84" s="405" t="s">
        <v>1296</v>
      </c>
    </row>
    <row r="85" spans="1:26" ht="15.65" x14ac:dyDescent="0.25">
      <c r="A85" s="50"/>
      <c r="B85" s="2194" t="s">
        <v>656</v>
      </c>
      <c r="C85" s="1035"/>
      <c r="D85" s="1035"/>
      <c r="E85" s="1035"/>
      <c r="F85" s="2207"/>
      <c r="G85" s="2205"/>
      <c r="H85" s="2997">
        <v>2.61</v>
      </c>
      <c r="I85" s="2205"/>
      <c r="J85" s="2206">
        <v>100</v>
      </c>
      <c r="K85" s="2205"/>
      <c r="L85"/>
      <c r="W85" s="405"/>
    </row>
    <row r="86" spans="1:26" ht="15.65" x14ac:dyDescent="0.25">
      <c r="A86" s="50"/>
      <c r="B86" s="2194" t="s">
        <v>657</v>
      </c>
      <c r="C86" s="1035"/>
      <c r="D86" s="1035"/>
      <c r="E86" s="1035"/>
      <c r="F86" s="2207"/>
      <c r="G86" s="2205"/>
      <c r="H86" s="2996">
        <v>3</v>
      </c>
      <c r="I86" s="2205"/>
      <c r="J86" s="2206">
        <v>70</v>
      </c>
      <c r="K86" s="2205"/>
      <c r="L86"/>
    </row>
    <row r="87" spans="1:26" ht="15.65" x14ac:dyDescent="0.25">
      <c r="A87" s="50"/>
      <c r="B87" s="2194" t="s">
        <v>658</v>
      </c>
      <c r="C87" s="1035"/>
      <c r="D87" s="1035"/>
      <c r="E87" s="1035"/>
      <c r="F87" s="2207"/>
      <c r="G87" s="2205"/>
      <c r="H87" s="2996">
        <v>3.9</v>
      </c>
      <c r="I87" s="2205"/>
      <c r="J87" s="2206">
        <v>30</v>
      </c>
      <c r="K87" s="3071"/>
      <c r="L87"/>
    </row>
    <row r="88" spans="1:26" ht="15.65" x14ac:dyDescent="0.25">
      <c r="A88" s="50"/>
      <c r="B88" s="2544" t="s">
        <v>659</v>
      </c>
      <c r="C88" s="1530"/>
      <c r="D88" s="1530"/>
      <c r="E88" s="1530"/>
      <c r="F88" s="2545"/>
      <c r="G88" s="2546"/>
      <c r="H88" s="3035">
        <v>4.3899999999999997</v>
      </c>
      <c r="I88" s="2546"/>
      <c r="J88" s="3078" t="s">
        <v>1291</v>
      </c>
      <c r="K88" s="3074"/>
      <c r="L88"/>
    </row>
    <row r="89" spans="1:26" ht="13.6" x14ac:dyDescent="0.2">
      <c r="A89" s="50"/>
      <c r="L89"/>
    </row>
    <row r="90" spans="1:26" ht="14.3" customHeight="1" x14ac:dyDescent="0.2">
      <c r="A90" s="50"/>
      <c r="L90"/>
    </row>
    <row r="91" spans="1:26" ht="23.95" customHeight="1" x14ac:dyDescent="0.2">
      <c r="A91" s="50"/>
      <c r="L91"/>
    </row>
    <row r="92" spans="1:26" ht="14.3" customHeight="1" x14ac:dyDescent="0.2">
      <c r="A92" s="50"/>
      <c r="L92"/>
    </row>
    <row r="93" spans="1:26" ht="18.7" customHeight="1" x14ac:dyDescent="0.2">
      <c r="A93" s="50"/>
      <c r="L93"/>
    </row>
    <row r="94" spans="1:26" ht="18.7" customHeight="1" x14ac:dyDescent="0.2">
      <c r="A94" s="50"/>
      <c r="L94"/>
    </row>
    <row r="95" spans="1:26" ht="23.3" customHeight="1" x14ac:dyDescent="0.2">
      <c r="L95"/>
    </row>
    <row r="96" spans="1:26" ht="22.6" customHeight="1" x14ac:dyDescent="0.2">
      <c r="A96" s="50"/>
      <c r="L96"/>
    </row>
    <row r="97" spans="1:12" ht="20.25" customHeight="1" x14ac:dyDescent="0.2">
      <c r="A97" s="50"/>
      <c r="L97"/>
    </row>
    <row r="98" spans="1:12" ht="20.25" customHeight="1" x14ac:dyDescent="0.2">
      <c r="A98" s="50"/>
      <c r="L98"/>
    </row>
    <row r="99" spans="1:12" ht="20.25" customHeight="1" x14ac:dyDescent="0.2">
      <c r="A99" s="50"/>
      <c r="L99"/>
    </row>
    <row r="100" spans="1:12" ht="20.25" customHeight="1" x14ac:dyDescent="0.2">
      <c r="A100" s="50"/>
    </row>
    <row r="101" spans="1:12" ht="20.25" customHeight="1" x14ac:dyDescent="0.2">
      <c r="A101" s="50"/>
    </row>
    <row r="102" spans="1:12" ht="9" customHeight="1" x14ac:dyDescent="0.2">
      <c r="A102" s="50"/>
    </row>
    <row r="103" spans="1:12" ht="18" customHeight="1" x14ac:dyDescent="0.2">
      <c r="A103" s="50"/>
    </row>
    <row r="104" spans="1:12" ht="23.3" customHeight="1" x14ac:dyDescent="0.2">
      <c r="A104" s="50"/>
    </row>
    <row r="105" spans="1:12" ht="25.5" customHeight="1" x14ac:dyDescent="0.2">
      <c r="A105" s="50"/>
    </row>
    <row r="106" spans="1:12" ht="18" customHeight="1" x14ac:dyDescent="0.2">
      <c r="A106" s="50"/>
    </row>
    <row r="107" spans="1:12" ht="14.3" customHeight="1" x14ac:dyDescent="0.2">
      <c r="A107" s="50"/>
    </row>
    <row r="108" spans="1:12" ht="20.25" customHeight="1" x14ac:dyDescent="0.2">
      <c r="A108" s="50"/>
    </row>
    <row r="109" spans="1:12" ht="13.6" x14ac:dyDescent="0.2">
      <c r="A109" s="50"/>
      <c r="G109" s="41"/>
    </row>
    <row r="110" spans="1:12" ht="13.6" x14ac:dyDescent="0.2">
      <c r="A110" s="50"/>
    </row>
    <row r="111" spans="1:12" ht="17.7" customHeight="1" x14ac:dyDescent="0.2">
      <c r="A111" s="50"/>
    </row>
    <row r="112" spans="1:12" ht="19.55" customHeight="1" x14ac:dyDescent="0.2">
      <c r="A112" s="50"/>
    </row>
    <row r="113" spans="1:1" ht="21.25" customHeight="1" x14ac:dyDescent="0.2">
      <c r="A113" s="50"/>
    </row>
    <row r="114" spans="1:1" ht="18" customHeight="1" x14ac:dyDescent="0.2">
      <c r="A114" s="50"/>
    </row>
    <row r="115" spans="1:1" ht="20.25" customHeight="1" x14ac:dyDescent="0.2">
      <c r="A115" s="50"/>
    </row>
    <row r="116" spans="1:1" ht="25.5" customHeight="1" x14ac:dyDescent="0.2">
      <c r="A116" s="50"/>
    </row>
    <row r="117" spans="1:1" ht="13.6" customHeight="1" x14ac:dyDescent="0.2">
      <c r="A117" s="50"/>
    </row>
    <row r="118" spans="1:1" ht="18.7" customHeight="1" x14ac:dyDescent="0.2">
      <c r="A118" s="50"/>
    </row>
    <row r="119" spans="1:1" ht="13.6" customHeight="1" x14ac:dyDescent="0.2">
      <c r="A119" s="50"/>
    </row>
    <row r="120" spans="1:1" ht="13.6" x14ac:dyDescent="0.2">
      <c r="A120" s="50"/>
    </row>
    <row r="121" spans="1:1" ht="13.6" x14ac:dyDescent="0.2">
      <c r="A121" s="50"/>
    </row>
    <row r="122" spans="1:1" ht="13.6" x14ac:dyDescent="0.2">
      <c r="A122" s="50"/>
    </row>
    <row r="123" spans="1:1" ht="13.6" x14ac:dyDescent="0.2">
      <c r="A123" s="50"/>
    </row>
    <row r="124" spans="1:1" ht="13.6" x14ac:dyDescent="0.2">
      <c r="A124" s="50"/>
    </row>
    <row r="125" spans="1:1" ht="13.6" x14ac:dyDescent="0.2">
      <c r="A125" s="50"/>
    </row>
    <row r="126" spans="1:1" ht="13.6" x14ac:dyDescent="0.2">
      <c r="A126" s="50"/>
    </row>
    <row r="127" spans="1:1" ht="13.6" x14ac:dyDescent="0.2">
      <c r="A127" s="50"/>
    </row>
    <row r="128" spans="1:1" ht="13.6" x14ac:dyDescent="0.2">
      <c r="A128" s="50"/>
    </row>
    <row r="129" spans="1:14" ht="13.6" x14ac:dyDescent="0.2">
      <c r="A129" s="50"/>
    </row>
    <row r="130" spans="1:14" ht="13.6" x14ac:dyDescent="0.2">
      <c r="A130" s="50"/>
    </row>
    <row r="131" spans="1:14" ht="20.25" customHeight="1" x14ac:dyDescent="0.2">
      <c r="A131" s="50"/>
    </row>
    <row r="132" spans="1:14" ht="20.25" customHeight="1" x14ac:dyDescent="0.2">
      <c r="A132" s="50"/>
    </row>
    <row r="133" spans="1:14" ht="20.25" customHeight="1" x14ac:dyDescent="0.2">
      <c r="A133" s="50"/>
    </row>
    <row r="134" spans="1:14" ht="20.25" customHeight="1" x14ac:dyDescent="0.2">
      <c r="A134" s="50"/>
      <c r="N134" s="405" t="s">
        <v>681</v>
      </c>
    </row>
    <row r="135" spans="1:14" ht="20.25" customHeight="1" x14ac:dyDescent="0.2">
      <c r="A135" s="50"/>
      <c r="N135" s="405" t="s">
        <v>681</v>
      </c>
    </row>
    <row r="136" spans="1:14" ht="20.25" customHeight="1" x14ac:dyDescent="0.2">
      <c r="A136" s="50"/>
      <c r="N136" s="405" t="s">
        <v>681</v>
      </c>
    </row>
    <row r="137" spans="1:14" ht="20.25" customHeight="1" x14ac:dyDescent="0.2">
      <c r="A137" s="50"/>
    </row>
    <row r="138" spans="1:14" ht="20.25" customHeight="1" x14ac:dyDescent="0.2">
      <c r="A138" s="50"/>
      <c r="N138" s="405" t="s">
        <v>681</v>
      </c>
    </row>
    <row r="139" spans="1:14" ht="20.25" customHeight="1" x14ac:dyDescent="0.2">
      <c r="A139" s="50"/>
      <c r="N139" s="405" t="s">
        <v>681</v>
      </c>
    </row>
    <row r="140" spans="1:14" ht="20.25" customHeight="1" x14ac:dyDescent="0.2">
      <c r="A140" s="50"/>
      <c r="N140" s="405" t="s">
        <v>681</v>
      </c>
    </row>
    <row r="141" spans="1:14" ht="20.25" customHeight="1" x14ac:dyDescent="0.2">
      <c r="A141" s="50"/>
      <c r="N141" s="405" t="s">
        <v>681</v>
      </c>
    </row>
    <row r="142" spans="1:14" ht="20.25" customHeight="1" x14ac:dyDescent="0.2">
      <c r="A142" s="50"/>
      <c r="N142" s="405" t="s">
        <v>676</v>
      </c>
    </row>
    <row r="143" spans="1:14" ht="20.25" customHeight="1" x14ac:dyDescent="0.2">
      <c r="A143" s="50"/>
      <c r="N143" s="405" t="s">
        <v>674</v>
      </c>
    </row>
    <row r="144" spans="1:14" ht="20.25" customHeight="1" x14ac:dyDescent="0.2">
      <c r="A144" s="50"/>
    </row>
    <row r="145" spans="1:15" ht="20.25" customHeight="1" x14ac:dyDescent="0.2">
      <c r="A145" s="50"/>
    </row>
    <row r="146" spans="1:15" ht="20.25" customHeight="1" x14ac:dyDescent="0.2">
      <c r="A146" s="50"/>
      <c r="N146" s="405" t="s">
        <v>637</v>
      </c>
    </row>
    <row r="147" spans="1:15" ht="20.25" customHeight="1" x14ac:dyDescent="0.2">
      <c r="A147" s="50"/>
      <c r="O147" s="1918"/>
    </row>
    <row r="148" spans="1:15" ht="20.25" customHeight="1" x14ac:dyDescent="0.2">
      <c r="A148" s="50"/>
    </row>
    <row r="149" spans="1:15" ht="20.25" customHeight="1" x14ac:dyDescent="0.2">
      <c r="A149" s="50"/>
    </row>
    <row r="150" spans="1:15" ht="20.25" customHeight="1" x14ac:dyDescent="0.2">
      <c r="A150" s="50"/>
    </row>
    <row r="151" spans="1:15" ht="20.25" customHeight="1" x14ac:dyDescent="0.2">
      <c r="A151" s="50"/>
    </row>
    <row r="152" spans="1:15" ht="20.25" customHeight="1" x14ac:dyDescent="0.2">
      <c r="A152" s="50"/>
    </row>
    <row r="153" spans="1:15" ht="20.25" customHeight="1" x14ac:dyDescent="0.2">
      <c r="A153" s="50"/>
    </row>
    <row r="160" spans="1:15" ht="18.7" customHeight="1" x14ac:dyDescent="0.2"/>
    <row r="161" spans="2:15" ht="18.7" customHeight="1" x14ac:dyDescent="0.2"/>
    <row r="162" spans="2:15" ht="18.7" customHeight="1" x14ac:dyDescent="0.2">
      <c r="B162" s="50"/>
      <c r="C162" s="50"/>
      <c r="D162" s="50"/>
      <c r="E162" s="50"/>
      <c r="F162" s="50"/>
      <c r="G162" s="50"/>
      <c r="H162" s="50"/>
      <c r="I162" s="50"/>
      <c r="J162" s="50"/>
      <c r="K162" s="50"/>
      <c r="L162" s="50"/>
    </row>
    <row r="163" spans="2:15" ht="18.7" customHeight="1" x14ac:dyDescent="0.2">
      <c r="B163" s="50"/>
      <c r="C163" s="50"/>
      <c r="D163" s="50"/>
      <c r="E163" s="50"/>
      <c r="F163" s="50"/>
      <c r="G163" s="50"/>
      <c r="H163" s="50"/>
      <c r="I163" s="50"/>
      <c r="J163" s="50"/>
      <c r="K163" s="50"/>
      <c r="L163" s="50"/>
    </row>
    <row r="164" spans="2:15" ht="18.7" customHeight="1" x14ac:dyDescent="0.2">
      <c r="B164" s="449"/>
      <c r="C164" s="1109"/>
      <c r="D164" s="449"/>
      <c r="E164" s="449"/>
      <c r="F164" s="449"/>
      <c r="G164" s="449"/>
      <c r="H164" s="449"/>
      <c r="I164" s="449"/>
      <c r="J164" s="449"/>
      <c r="K164" s="449"/>
      <c r="L164" s="449"/>
      <c r="M164" s="449"/>
      <c r="N164" s="770"/>
      <c r="O164" s="770"/>
    </row>
    <row r="165" spans="2:15" ht="18.7" customHeight="1" x14ac:dyDescent="0.2">
      <c r="B165" s="449"/>
      <c r="C165" s="1109"/>
      <c r="D165" s="449"/>
      <c r="E165" s="449"/>
      <c r="F165" s="449"/>
      <c r="G165" s="449"/>
      <c r="H165" s="449"/>
      <c r="I165" s="449"/>
      <c r="J165" s="449"/>
      <c r="K165" s="449"/>
      <c r="L165" s="449"/>
      <c r="M165" s="449"/>
      <c r="N165" s="770"/>
      <c r="O165" s="770"/>
    </row>
    <row r="166" spans="2:15" ht="18.7" customHeight="1" x14ac:dyDescent="0.2">
      <c r="B166" s="449"/>
      <c r="C166" s="1109"/>
      <c r="D166" s="449"/>
      <c r="E166" s="449"/>
      <c r="F166" s="449"/>
      <c r="G166" s="449"/>
      <c r="H166" s="449"/>
      <c r="I166" s="449"/>
      <c r="J166" s="449"/>
      <c r="K166" s="449"/>
      <c r="L166" s="449"/>
      <c r="M166" s="449"/>
      <c r="N166" s="770"/>
      <c r="O166" s="770"/>
    </row>
    <row r="167" spans="2:15" ht="18.7" customHeight="1" x14ac:dyDescent="0.2">
      <c r="B167" s="449"/>
      <c r="C167" s="1109"/>
      <c r="D167" s="449"/>
      <c r="E167" s="449"/>
      <c r="F167" s="449"/>
      <c r="G167" s="449"/>
      <c r="H167" s="449"/>
      <c r="I167" s="449"/>
      <c r="J167" s="449"/>
      <c r="K167" s="449"/>
      <c r="L167" s="449"/>
      <c r="M167" s="449"/>
      <c r="N167" s="770"/>
      <c r="O167" s="770"/>
    </row>
    <row r="168" spans="2:15" ht="18.7" customHeight="1" x14ac:dyDescent="0.2">
      <c r="B168" s="449"/>
      <c r="C168" s="1109"/>
      <c r="D168" s="449"/>
      <c r="E168" s="449"/>
      <c r="F168" s="449"/>
      <c r="G168" s="449"/>
      <c r="H168" s="449"/>
      <c r="I168" s="449"/>
      <c r="J168" s="449"/>
      <c r="K168" s="449"/>
      <c r="L168" s="449"/>
      <c r="M168" s="449"/>
      <c r="N168" s="770"/>
      <c r="O168" s="770"/>
    </row>
    <row r="169" spans="2:15" ht="18.7" customHeight="1" x14ac:dyDescent="0.2">
      <c r="B169" s="449"/>
      <c r="C169" s="1109"/>
      <c r="D169" s="449"/>
      <c r="E169" s="449"/>
      <c r="F169" s="449"/>
      <c r="G169" s="449"/>
      <c r="H169" s="449"/>
      <c r="I169" s="449"/>
      <c r="J169" s="449"/>
      <c r="K169" s="449"/>
      <c r="L169" s="449"/>
      <c r="M169" s="449"/>
      <c r="N169" s="770"/>
      <c r="O169" s="770"/>
    </row>
    <row r="170" spans="2:15" ht="18.7" customHeight="1" x14ac:dyDescent="0.2"/>
    <row r="171" spans="2:15" ht="18.7" customHeight="1" x14ac:dyDescent="0.2"/>
    <row r="172" spans="2:15" ht="18.7" customHeight="1" x14ac:dyDescent="0.2"/>
    <row r="173" spans="2:15" ht="18.7" customHeight="1" x14ac:dyDescent="0.2"/>
    <row r="174" spans="2:15" ht="18.7" customHeight="1" x14ac:dyDescent="0.2"/>
    <row r="175" spans="2:15" ht="18.7" customHeight="1" x14ac:dyDescent="0.2"/>
    <row r="176" spans="2:15" ht="18.7" customHeight="1" x14ac:dyDescent="0.2"/>
    <row r="177" ht="18.7" customHeight="1" x14ac:dyDescent="0.2"/>
    <row r="178" ht="18.7" customHeight="1" x14ac:dyDescent="0.2"/>
    <row r="179" ht="18.7" customHeight="1" x14ac:dyDescent="0.2"/>
    <row r="180" ht="18.7" customHeight="1" x14ac:dyDescent="0.2"/>
    <row r="181" ht="18.7" customHeight="1" x14ac:dyDescent="0.2"/>
    <row r="182" ht="18.7" customHeight="1" x14ac:dyDescent="0.2"/>
    <row r="183" ht="18.7" customHeight="1" x14ac:dyDescent="0.2"/>
    <row r="184" ht="18.7" customHeight="1" x14ac:dyDescent="0.2"/>
    <row r="185" ht="18.7" customHeight="1" x14ac:dyDescent="0.2"/>
    <row r="186" ht="18.7" customHeight="1" x14ac:dyDescent="0.2"/>
    <row r="187" ht="18.7" customHeight="1" x14ac:dyDescent="0.2"/>
    <row r="188" ht="18.7" customHeight="1" x14ac:dyDescent="0.2"/>
    <row r="189" ht="18.7" customHeight="1" x14ac:dyDescent="0.2"/>
    <row r="190" ht="18.7" customHeight="1" x14ac:dyDescent="0.2"/>
    <row r="191" ht="18.7" customHeight="1" x14ac:dyDescent="0.2"/>
  </sheetData>
  <sheetProtection sheet="1" objects="1" scenarios="1"/>
  <customSheetViews>
    <customSheetView guid="{32760361-675F-4FBF-A5CA-B0597C10371F}" scale="96" showGridLines="0" zeroValues="0" fitToPage="1" hiddenRows="1" hiddenColumns="1">
      <selection activeCell="J38" sqref="J38"/>
      <pageMargins left="0.25" right="0.25" top="0.75" bottom="0.75" header="0.3" footer="0.3"/>
      <printOptions horizontalCentered="1"/>
      <pageSetup paperSize="9" scale="53" firstPageNumber="15" orientation="portrait" useFirstPageNumber="1" r:id="rId1"/>
      <headerFooter alignWithMargins="0">
        <oddFooter>&amp;L&amp;12LEL Schwäbisch Gmünd (Abtlg. II)
LAZBW Aulendorf&amp;C&amp;12 &amp;P&amp;R&amp;12&amp;F
&amp;A</oddFooter>
      </headerFooter>
    </customSheetView>
  </customSheetViews>
  <mergeCells count="6">
    <mergeCell ref="W64:X69"/>
    <mergeCell ref="D1:H1"/>
    <mergeCell ref="B40:G41"/>
    <mergeCell ref="B23:L23"/>
    <mergeCell ref="H64:I65"/>
    <mergeCell ref="J64:K65"/>
  </mergeCells>
  <phoneticPr fontId="0" type="noConversion"/>
  <hyperlinks>
    <hyperlink ref="D1:H1" location="Inhalt!A1:A10" display="zurück zum Inhaltsverzeichnis"/>
    <hyperlink ref="O22:Q22" location="Kostenrechnung!A1" display="zu Kostenrechnung"/>
  </hyperlinks>
  <printOptions horizontalCentered="1"/>
  <pageMargins left="0.25" right="0.25" top="0.75" bottom="0.75" header="0.3" footer="0.3"/>
  <pageSetup paperSize="9" scale="53" firstPageNumber="15" orientation="portrait" useFirstPageNumber="1" r:id="rId2"/>
  <headerFooter alignWithMargins="0">
    <oddFooter>&amp;L&amp;12LEL Schwäbisch Gmünd (Abtlg. II)
LAZBW Aulendorf&amp;C&amp;12 &amp;P&amp;R&amp;12&amp;F
&amp;A</oddFooter>
  </headerFooter>
  <ignoredErrors>
    <ignoredError sqref="J77" twoDigitTextYear="1"/>
  </ignoredErrors>
  <drawing r:id="rId3"/>
  <legacyDrawing r:id="rId4"/>
  <mc:AlternateContent xmlns:mc="http://schemas.openxmlformats.org/markup-compatibility/2006">
    <mc:Choice Requires="x14">
      <controls>
        <mc:AlternateContent xmlns:mc="http://schemas.openxmlformats.org/markup-compatibility/2006">
          <mc:Choice Requires="x14">
            <control shapeId="1497093" r:id="rId5" name="Check Box 5">
              <controlPr defaultSize="0" autoFill="0" autoLine="0" autoPict="0">
                <anchor moveWithCells="1">
                  <from>
                    <xdr:col>6</xdr:col>
                    <xdr:colOff>1785668</xdr:colOff>
                    <xdr:row>19</xdr:row>
                    <xdr:rowOff>146649</xdr:rowOff>
                  </from>
                  <to>
                    <xdr:col>6</xdr:col>
                    <xdr:colOff>2001328</xdr:colOff>
                    <xdr:row>20</xdr:row>
                    <xdr:rowOff>198408</xdr:rowOff>
                  </to>
                </anchor>
              </controlPr>
            </control>
          </mc:Choice>
        </mc:AlternateContent>
        <mc:AlternateContent xmlns:mc="http://schemas.openxmlformats.org/markup-compatibility/2006">
          <mc:Choice Requires="x14">
            <control shapeId="1497094" r:id="rId6" name="Check Box 6">
              <controlPr defaultSize="0" autoFill="0" autoLine="0" autoPict="0">
                <anchor moveWithCells="1">
                  <from>
                    <xdr:col>8</xdr:col>
                    <xdr:colOff>526211</xdr:colOff>
                    <xdr:row>19</xdr:row>
                    <xdr:rowOff>155275</xdr:rowOff>
                  </from>
                  <to>
                    <xdr:col>8</xdr:col>
                    <xdr:colOff>733245</xdr:colOff>
                    <xdr:row>20</xdr:row>
                    <xdr:rowOff>172528</xdr:rowOff>
                  </to>
                </anchor>
              </controlPr>
            </control>
          </mc:Choice>
        </mc:AlternateContent>
        <mc:AlternateContent xmlns:mc="http://schemas.openxmlformats.org/markup-compatibility/2006">
          <mc:Choice Requires="x14">
            <control shapeId="1497095" r:id="rId7" name="Drop Down 7">
              <controlPr defaultSize="0" autoLine="0" autoPict="0">
                <anchor moveWithCells="1">
                  <from>
                    <xdr:col>10</xdr:col>
                    <xdr:colOff>60385</xdr:colOff>
                    <xdr:row>3</xdr:row>
                    <xdr:rowOff>69011</xdr:rowOff>
                  </from>
                  <to>
                    <xdr:col>12</xdr:col>
                    <xdr:colOff>715992</xdr:colOff>
                    <xdr:row>3</xdr:row>
                    <xdr:rowOff>232913</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59</vt:i4>
      </vt:variant>
    </vt:vector>
  </HeadingPairs>
  <TitlesOfParts>
    <vt:vector size="116" baseType="lpstr">
      <vt:lpstr>Inhalt</vt:lpstr>
      <vt:lpstr>Hinweise</vt:lpstr>
      <vt:lpstr>Übersicht Tab.</vt:lpstr>
      <vt:lpstr>Grafik</vt:lpstr>
      <vt:lpstr>KombiGrünland</vt:lpstr>
      <vt:lpstr>Erträge</vt:lpstr>
      <vt:lpstr>Energ.</vt:lpstr>
      <vt:lpstr>Prämien</vt:lpstr>
      <vt:lpstr>Preise</vt:lpstr>
      <vt:lpstr>Arbeitsgänge</vt:lpstr>
      <vt:lpstr>Lohnma.</vt:lpstr>
      <vt:lpstr>Maschinen</vt:lpstr>
      <vt:lpstr>Lager-Fläche</vt:lpstr>
      <vt:lpstr>Grün3(a)</vt:lpstr>
      <vt:lpstr>G3(b)</vt:lpstr>
      <vt:lpstr>Grün4(a)</vt:lpstr>
      <vt:lpstr>G4(b)</vt:lpstr>
      <vt:lpstr>GSilo3(a)</vt:lpstr>
      <vt:lpstr>GS3(b)</vt:lpstr>
      <vt:lpstr>GSilo4(a)</vt:lpstr>
      <vt:lpstr>GS4(b)</vt:lpstr>
      <vt:lpstr>Heu 2(a) </vt:lpstr>
      <vt:lpstr>H2(b)</vt:lpstr>
      <vt:lpstr>Heu 3(a)</vt:lpstr>
      <vt:lpstr>H3(b)</vt:lpstr>
      <vt:lpstr>HeuTr. 4(a)</vt:lpstr>
      <vt:lpstr>HTr.4(b)</vt:lpstr>
      <vt:lpstr>Standw.(a)</vt:lpstr>
      <vt:lpstr>Stw.(b)</vt:lpstr>
      <vt:lpstr>Umtriebsw.(a)</vt:lpstr>
      <vt:lpstr>Umw.(b)</vt:lpstr>
      <vt:lpstr>Portionsw.(a)</vt:lpstr>
      <vt:lpstr>Porw.(b)</vt:lpstr>
      <vt:lpstr>KGGrün70-30(a)</vt:lpstr>
      <vt:lpstr>KGGrün(b)</vt:lpstr>
      <vt:lpstr>KGSilo30-70(a)</vt:lpstr>
      <vt:lpstr>KSilo(b)</vt:lpstr>
      <vt:lpstr>KGCob(a)</vt:lpstr>
      <vt:lpstr>KGCob(b)</vt:lpstr>
      <vt:lpstr>LuzGrün(a)</vt:lpstr>
      <vt:lpstr>LuzGrün(b)</vt:lpstr>
      <vt:lpstr>LuzHeuTr(a)</vt:lpstr>
      <vt:lpstr>LuzHeuTr(b)</vt:lpstr>
      <vt:lpstr>Silomais(a)</vt:lpstr>
      <vt:lpstr>Silomais(b)</vt:lpstr>
      <vt:lpstr>GPS GersteErbse(a)</vt:lpstr>
      <vt:lpstr>GPS G-E(b)</vt:lpstr>
      <vt:lpstr>Zwf(a)</vt:lpstr>
      <vt:lpstr>Zwf(b)</vt:lpstr>
      <vt:lpstr>TestAb(a)</vt:lpstr>
      <vt:lpstr>TestAb(b)</vt:lpstr>
      <vt:lpstr>Grünroggen-(a)</vt:lpstr>
      <vt:lpstr>Grünroggen-(b)</vt:lpstr>
      <vt:lpstr>Landsberger-(a)</vt:lpstr>
      <vt:lpstr>Landsberger-(b)</vt:lpstr>
      <vt:lpstr>Leguminosen GemengeGPS(a)</vt:lpstr>
      <vt:lpstr>Leguminosen GemengeGPS(b)</vt:lpstr>
      <vt:lpstr>Arbeitsgänge!Druckbereich</vt:lpstr>
      <vt:lpstr>Energ.!Druckbereich</vt:lpstr>
      <vt:lpstr>Erträge!Druckbereich</vt:lpstr>
      <vt:lpstr>'G3(b)'!Druckbereich</vt:lpstr>
      <vt:lpstr>'G4(b)'!Druckbereich</vt:lpstr>
      <vt:lpstr>'GPS G-E(b)'!Druckbereich</vt:lpstr>
      <vt:lpstr>'GPS GersteErbse(a)'!Druckbereich</vt:lpstr>
      <vt:lpstr>Grafik!Druckbereich</vt:lpstr>
      <vt:lpstr>'Grün3(a)'!Druckbereich</vt:lpstr>
      <vt:lpstr>'Grün4(a)'!Druckbereich</vt:lpstr>
      <vt:lpstr>'Grünroggen-(a)'!Druckbereich</vt:lpstr>
      <vt:lpstr>'Grünroggen-(b)'!Druckbereich</vt:lpstr>
      <vt:lpstr>'GS3(b)'!Druckbereich</vt:lpstr>
      <vt:lpstr>'GS4(b)'!Druckbereich</vt:lpstr>
      <vt:lpstr>'GSilo3(a)'!Druckbereich</vt:lpstr>
      <vt:lpstr>'GSilo4(a)'!Druckbereich</vt:lpstr>
      <vt:lpstr>'H2(b)'!Druckbereich</vt:lpstr>
      <vt:lpstr>'H3(b)'!Druckbereich</vt:lpstr>
      <vt:lpstr>'Heu 2(a) '!Druckbereich</vt:lpstr>
      <vt:lpstr>'Heu 3(a)'!Druckbereich</vt:lpstr>
      <vt:lpstr>'HeuTr. 4(a)'!Druckbereich</vt:lpstr>
      <vt:lpstr>Hinweise!Druckbereich</vt:lpstr>
      <vt:lpstr>'HTr.4(b)'!Druckbereich</vt:lpstr>
      <vt:lpstr>Inhalt!Druckbereich</vt:lpstr>
      <vt:lpstr>'KGCob(a)'!Druckbereich</vt:lpstr>
      <vt:lpstr>'KGCob(b)'!Druckbereich</vt:lpstr>
      <vt:lpstr>'KGGrün(b)'!Druckbereich</vt:lpstr>
      <vt:lpstr>'KGGrün70-30(a)'!Druckbereich</vt:lpstr>
      <vt:lpstr>'KGSilo30-70(a)'!Druckbereich</vt:lpstr>
      <vt:lpstr>'KSilo(b)'!Druckbereich</vt:lpstr>
      <vt:lpstr>'Lager-Fläche'!Druckbereich</vt:lpstr>
      <vt:lpstr>'Landsberger-(a)'!Druckbereich</vt:lpstr>
      <vt:lpstr>'Landsberger-(b)'!Druckbereich</vt:lpstr>
      <vt:lpstr>'Leguminosen GemengeGPS(a)'!Druckbereich</vt:lpstr>
      <vt:lpstr>'Leguminosen GemengeGPS(b)'!Druckbereich</vt:lpstr>
      <vt:lpstr>Lohnma.!Druckbereich</vt:lpstr>
      <vt:lpstr>'LuzGrün(a)'!Druckbereich</vt:lpstr>
      <vt:lpstr>'LuzGrün(b)'!Druckbereich</vt:lpstr>
      <vt:lpstr>'LuzHeuTr(a)'!Druckbereich</vt:lpstr>
      <vt:lpstr>'LuzHeuTr(b)'!Druckbereich</vt:lpstr>
      <vt:lpstr>Maschinen!Druckbereich</vt:lpstr>
      <vt:lpstr>'Portionsw.(a)'!Druckbereich</vt:lpstr>
      <vt:lpstr>'Porw.(b)'!Druckbereich</vt:lpstr>
      <vt:lpstr>Prämien!Druckbereich</vt:lpstr>
      <vt:lpstr>Preise!Druckbereich</vt:lpstr>
      <vt:lpstr>'Silomais(a)'!Druckbereich</vt:lpstr>
      <vt:lpstr>'Silomais(b)'!Druckbereich</vt:lpstr>
      <vt:lpstr>'Standw.(a)'!Druckbereich</vt:lpstr>
      <vt:lpstr>'Stw.(b)'!Druckbereich</vt:lpstr>
      <vt:lpstr>'TestAb(a)'!Druckbereich</vt:lpstr>
      <vt:lpstr>'TestAb(b)'!Druckbereich</vt:lpstr>
      <vt:lpstr>'Übersicht Tab.'!Druckbereich</vt:lpstr>
      <vt:lpstr>'Umtriebsw.(a)'!Druckbereich</vt:lpstr>
      <vt:lpstr>'Umw.(b)'!Druckbereich</vt:lpstr>
      <vt:lpstr>'Zwf(a)'!Druckbereich</vt:lpstr>
      <vt:lpstr>'Zwf(b)'!Druckbereich</vt:lpstr>
      <vt:lpstr>Arbeitsgänge!Drucktitel</vt:lpstr>
      <vt:lpstr>Inhalt!Drucktitel</vt:lpstr>
      <vt:lpstr>'Übersicht Tab.'!Drucktitel</vt:lpstr>
    </vt:vector>
  </TitlesOfParts>
  <Company>LEL Schwäbisch Gmünd, LVVG Aulendorf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Kalkulationsdaten Futterbau</dc:title>
  <dc:subject>Deckungsbeiträge / Vollkosten</dc:subject>
  <dc:creator>Katrin.Schabel@lel.bwl.de;Joerg.Miez@lel.bwl.de</dc:creator>
  <cp:keywords>Futterbau, Deckungsbeitrag, Unternehmergewinn, Grundfutterkosten</cp:keywords>
  <dc:description>Die Kalkulationsdaten enthalten Faustzahlen zur betriebswirtschaftlichen Bewertung des Futterbaus. Sie dienen als Entscheidungsgrundlage bei Anbaufragen, bei der Betriebsplanung, in Betriebsverbesserungsplänen oder in betriebswirtschaftlichen Schätzungen und Gutachten. _x000d_
Mit der EXCEL-Anwendung sind auch eigene Berechnungen möglich</dc:description>
  <cp:lastModifiedBy>Schröder, Gudrun (LEL)</cp:lastModifiedBy>
  <cp:lastPrinted>2018-09-24T13:37:30Z</cp:lastPrinted>
  <dcterms:created xsi:type="dcterms:W3CDTF">1999-02-26T09:37:29Z</dcterms:created>
  <dcterms:modified xsi:type="dcterms:W3CDTF">2019-01-15T10:19:55Z</dcterms:modified>
</cp:coreProperties>
</file>